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ber/Documents/BTH/Papers BTH/Value_Sustainability/Sustainability/"/>
    </mc:Choice>
  </mc:AlternateContent>
  <bookViews>
    <workbookView xWindow="2260" yWindow="460" windowWidth="36140" windowHeight="19160" tabRatio="500" activeTab="2"/>
  </bookViews>
  <sheets>
    <sheet name="Total hits" sheetId="2" r:id="rId1"/>
    <sheet name="SOTA full paper filtered" sheetId="4" r:id="rId2"/>
    <sheet name="Statistics full paper" sheetId="10" r:id="rId3"/>
    <sheet name="CITATION ANALYSIS-FULL TEXT " sheetId="11" r:id="rId4"/>
    <sheet name="SOURCE ANALYSIS-FULL TEXT " sheetId="5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1" i="10" l="1"/>
  <c r="E41" i="10"/>
  <c r="F41" i="10"/>
  <c r="G41" i="10"/>
  <c r="H41" i="10"/>
  <c r="I41" i="10"/>
  <c r="J41" i="10"/>
  <c r="K41" i="10"/>
  <c r="L41" i="10"/>
  <c r="M41" i="10"/>
  <c r="C41" i="10"/>
  <c r="D28" i="10"/>
  <c r="E28" i="10"/>
  <c r="F28" i="10"/>
  <c r="G28" i="10"/>
  <c r="H28" i="10"/>
  <c r="I28" i="10"/>
  <c r="J28" i="10"/>
  <c r="K28" i="10"/>
  <c r="L28" i="10"/>
  <c r="M28" i="10"/>
  <c r="C28" i="10"/>
  <c r="C27" i="10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10" i="5"/>
  <c r="G96" i="5"/>
  <c r="G95" i="5"/>
  <c r="F96" i="5"/>
  <c r="F95" i="5"/>
  <c r="E96" i="5"/>
  <c r="E95" i="5"/>
  <c r="D96" i="5"/>
  <c r="D95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B198" i="4"/>
  <c r="G62" i="5"/>
  <c r="D52" i="11"/>
  <c r="D39" i="11"/>
  <c r="D26" i="11"/>
  <c r="B26" i="11"/>
  <c r="D13" i="11"/>
  <c r="B52" i="11"/>
  <c r="B39" i="11"/>
  <c r="B13" i="11"/>
  <c r="C4" i="10"/>
  <c r="D4" i="10"/>
  <c r="E4" i="10"/>
  <c r="F4" i="10"/>
  <c r="G4" i="10"/>
  <c r="H4" i="10"/>
  <c r="I4" i="10"/>
  <c r="J4" i="10"/>
  <c r="K4" i="10"/>
  <c r="L4" i="10"/>
  <c r="M4" i="10"/>
  <c r="N4" i="10"/>
  <c r="P15" i="5"/>
  <c r="C5" i="10"/>
  <c r="D5" i="10"/>
  <c r="E5" i="10"/>
  <c r="F5" i="10"/>
  <c r="G5" i="10"/>
  <c r="H5" i="10"/>
  <c r="I5" i="10"/>
  <c r="J5" i="10"/>
  <c r="K5" i="10"/>
  <c r="L5" i="10"/>
  <c r="M5" i="10"/>
  <c r="N5" i="10"/>
  <c r="O15" i="5"/>
  <c r="C6" i="10"/>
  <c r="D6" i="10"/>
  <c r="E6" i="10"/>
  <c r="F6" i="10"/>
  <c r="G6" i="10"/>
  <c r="H6" i="10"/>
  <c r="I6" i="10"/>
  <c r="J6" i="10"/>
  <c r="K6" i="10"/>
  <c r="L6" i="10"/>
  <c r="M6" i="10"/>
  <c r="N6" i="10"/>
  <c r="N15" i="5"/>
  <c r="C7" i="10"/>
  <c r="D7" i="10"/>
  <c r="E7" i="10"/>
  <c r="F7" i="10"/>
  <c r="G7" i="10"/>
  <c r="H7" i="10"/>
  <c r="I7" i="10"/>
  <c r="J7" i="10"/>
  <c r="K7" i="10"/>
  <c r="L7" i="10"/>
  <c r="M7" i="10"/>
  <c r="N7" i="10"/>
  <c r="M15" i="5"/>
  <c r="L15" i="5"/>
  <c r="G74" i="5"/>
  <c r="F74" i="5"/>
  <c r="E74" i="5"/>
  <c r="G108" i="5"/>
  <c r="F108" i="5"/>
  <c r="E108" i="5"/>
  <c r="G67" i="5"/>
  <c r="F67" i="5"/>
  <c r="E67" i="5"/>
  <c r="G89" i="5"/>
  <c r="F89" i="5"/>
  <c r="E89" i="5"/>
  <c r="G102" i="5"/>
  <c r="F102" i="5"/>
  <c r="E102" i="5"/>
  <c r="G83" i="5"/>
  <c r="F83" i="5"/>
  <c r="E83" i="5"/>
  <c r="G82" i="5"/>
  <c r="F82" i="5"/>
  <c r="G71" i="5"/>
  <c r="F71" i="5"/>
  <c r="E71" i="5"/>
  <c r="G68" i="5"/>
  <c r="F68" i="5"/>
  <c r="E68" i="5"/>
  <c r="F62" i="5"/>
  <c r="E62" i="5"/>
  <c r="G58" i="5"/>
  <c r="F58" i="5"/>
  <c r="E58" i="5"/>
  <c r="G61" i="5"/>
  <c r="F61" i="5"/>
  <c r="E61" i="5"/>
  <c r="C5" i="5"/>
  <c r="N90" i="10"/>
  <c r="M90" i="10"/>
  <c r="L90" i="10"/>
  <c r="K90" i="10"/>
  <c r="J90" i="10"/>
  <c r="I90" i="10"/>
  <c r="N91" i="10"/>
  <c r="M91" i="10"/>
  <c r="L91" i="10"/>
  <c r="K91" i="10"/>
  <c r="J91" i="10"/>
  <c r="I91" i="10"/>
  <c r="N92" i="10"/>
  <c r="M92" i="10"/>
  <c r="L92" i="10"/>
  <c r="K92" i="10"/>
  <c r="J92" i="10"/>
  <c r="I92" i="10"/>
  <c r="N93" i="10"/>
  <c r="M93" i="10"/>
  <c r="L93" i="10"/>
  <c r="K93" i="10"/>
  <c r="J93" i="10"/>
  <c r="I93" i="10"/>
  <c r="N94" i="10"/>
  <c r="M94" i="10"/>
  <c r="L94" i="10"/>
  <c r="K94" i="10"/>
  <c r="J94" i="10"/>
  <c r="I94" i="10"/>
  <c r="N95" i="10"/>
  <c r="M95" i="10"/>
  <c r="L95" i="10"/>
  <c r="K95" i="10"/>
  <c r="J95" i="10"/>
  <c r="I95" i="10"/>
  <c r="N96" i="10"/>
  <c r="M96" i="10"/>
  <c r="L96" i="10"/>
  <c r="K96" i="10"/>
  <c r="J96" i="10"/>
  <c r="I96" i="10"/>
  <c r="N97" i="10"/>
  <c r="M97" i="10"/>
  <c r="L97" i="10"/>
  <c r="K97" i="10"/>
  <c r="J97" i="10"/>
  <c r="I97" i="10"/>
  <c r="G91" i="10"/>
  <c r="F91" i="10"/>
  <c r="E91" i="10"/>
  <c r="D91" i="10"/>
  <c r="C91" i="10"/>
  <c r="B91" i="10"/>
  <c r="G90" i="10"/>
  <c r="F90" i="10"/>
  <c r="E90" i="10"/>
  <c r="D90" i="10"/>
  <c r="C90" i="10"/>
  <c r="B90" i="10"/>
  <c r="G92" i="10"/>
  <c r="F92" i="10"/>
  <c r="E92" i="10"/>
  <c r="D92" i="10"/>
  <c r="C92" i="10"/>
  <c r="B92" i="10"/>
  <c r="G93" i="10"/>
  <c r="F93" i="10"/>
  <c r="E93" i="10"/>
  <c r="D93" i="10"/>
  <c r="C93" i="10"/>
  <c r="B93" i="10"/>
  <c r="G94" i="10"/>
  <c r="F94" i="10"/>
  <c r="E94" i="10"/>
  <c r="D94" i="10"/>
  <c r="C94" i="10"/>
  <c r="B94" i="10"/>
  <c r="G95" i="10"/>
  <c r="F95" i="10"/>
  <c r="E95" i="10"/>
  <c r="D95" i="10"/>
  <c r="C95" i="10"/>
  <c r="B95" i="10"/>
  <c r="G96" i="10"/>
  <c r="F96" i="10"/>
  <c r="E96" i="10"/>
  <c r="D96" i="10"/>
  <c r="C96" i="10"/>
  <c r="B96" i="10"/>
  <c r="F97" i="10"/>
  <c r="E97" i="10"/>
  <c r="D97" i="10"/>
  <c r="C97" i="10"/>
  <c r="B97" i="10"/>
  <c r="G97" i="10"/>
  <c r="C69" i="10"/>
  <c r="E5" i="5"/>
  <c r="E6" i="5"/>
  <c r="E8" i="5"/>
  <c r="E9" i="5"/>
  <c r="E12" i="5"/>
  <c r="E11" i="5"/>
  <c r="E15" i="5"/>
  <c r="E16" i="5"/>
  <c r="E17" i="5"/>
  <c r="E7" i="5"/>
  <c r="E13" i="5"/>
  <c r="E18" i="5"/>
  <c r="E19" i="5"/>
  <c r="E20" i="5"/>
  <c r="E21" i="5"/>
  <c r="E22" i="5"/>
  <c r="E23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9" i="5"/>
  <c r="E60" i="5"/>
  <c r="E14" i="5"/>
  <c r="E24" i="5"/>
  <c r="E25" i="5"/>
  <c r="E26" i="5"/>
  <c r="E28" i="5"/>
  <c r="E27" i="5"/>
  <c r="E63" i="5"/>
  <c r="E64" i="5"/>
  <c r="E65" i="5"/>
  <c r="E66" i="5"/>
  <c r="E10" i="5"/>
  <c r="E29" i="5"/>
  <c r="E30" i="5"/>
  <c r="E31" i="5"/>
  <c r="E32" i="5"/>
  <c r="E33" i="5"/>
  <c r="E34" i="5"/>
  <c r="E69" i="5"/>
  <c r="E70" i="5"/>
  <c r="E72" i="5"/>
  <c r="E73" i="5"/>
  <c r="E75" i="5"/>
  <c r="E76" i="5"/>
  <c r="E77" i="5"/>
  <c r="E78" i="5"/>
  <c r="E79" i="5"/>
  <c r="E80" i="5"/>
  <c r="E81" i="5"/>
  <c r="E84" i="5"/>
  <c r="E85" i="5"/>
  <c r="E86" i="5"/>
  <c r="E87" i="5"/>
  <c r="E88" i="5"/>
  <c r="E90" i="5"/>
  <c r="E91" i="5"/>
  <c r="E92" i="5"/>
  <c r="E93" i="5"/>
  <c r="E94" i="5"/>
  <c r="E97" i="5"/>
  <c r="E98" i="5"/>
  <c r="E99" i="5"/>
  <c r="E100" i="5"/>
  <c r="E101" i="5"/>
  <c r="E35" i="5"/>
  <c r="E103" i="5"/>
  <c r="E104" i="5"/>
  <c r="E105" i="5"/>
  <c r="E106" i="5"/>
  <c r="E107" i="5"/>
  <c r="E109" i="5"/>
  <c r="F5" i="5"/>
  <c r="F6" i="5"/>
  <c r="F8" i="5"/>
  <c r="F9" i="5"/>
  <c r="F12" i="5"/>
  <c r="F11" i="5"/>
  <c r="F15" i="5"/>
  <c r="F16" i="5"/>
  <c r="F17" i="5"/>
  <c r="F7" i="5"/>
  <c r="F13" i="5"/>
  <c r="F18" i="5"/>
  <c r="F19" i="5"/>
  <c r="F20" i="5"/>
  <c r="F21" i="5"/>
  <c r="F22" i="5"/>
  <c r="F23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9" i="5"/>
  <c r="F60" i="5"/>
  <c r="F14" i="5"/>
  <c r="F24" i="5"/>
  <c r="F25" i="5"/>
  <c r="F26" i="5"/>
  <c r="F28" i="5"/>
  <c r="F27" i="5"/>
  <c r="F63" i="5"/>
  <c r="F64" i="5"/>
  <c r="F65" i="5"/>
  <c r="F66" i="5"/>
  <c r="F10" i="5"/>
  <c r="F29" i="5"/>
  <c r="F30" i="5"/>
  <c r="F31" i="5"/>
  <c r="F32" i="5"/>
  <c r="F33" i="5"/>
  <c r="F34" i="5"/>
  <c r="F69" i="5"/>
  <c r="F70" i="5"/>
  <c r="F72" i="5"/>
  <c r="F73" i="5"/>
  <c r="F75" i="5"/>
  <c r="F76" i="5"/>
  <c r="F77" i="5"/>
  <c r="F78" i="5"/>
  <c r="F79" i="5"/>
  <c r="F80" i="5"/>
  <c r="F81" i="5"/>
  <c r="F84" i="5"/>
  <c r="F85" i="5"/>
  <c r="F86" i="5"/>
  <c r="F87" i="5"/>
  <c r="F88" i="5"/>
  <c r="F90" i="5"/>
  <c r="F91" i="5"/>
  <c r="F92" i="5"/>
  <c r="F93" i="5"/>
  <c r="F94" i="5"/>
  <c r="F97" i="5"/>
  <c r="F98" i="5"/>
  <c r="F99" i="5"/>
  <c r="F100" i="5"/>
  <c r="F101" i="5"/>
  <c r="F35" i="5"/>
  <c r="F103" i="5"/>
  <c r="F104" i="5"/>
  <c r="F105" i="5"/>
  <c r="F106" i="5"/>
  <c r="F107" i="5"/>
  <c r="F109" i="5"/>
  <c r="G5" i="5"/>
  <c r="G6" i="5"/>
  <c r="G8" i="5"/>
  <c r="G9" i="5"/>
  <c r="G12" i="5"/>
  <c r="G11" i="5"/>
  <c r="G15" i="5"/>
  <c r="G16" i="5"/>
  <c r="G17" i="5"/>
  <c r="G7" i="5"/>
  <c r="G13" i="5"/>
  <c r="G18" i="5"/>
  <c r="G19" i="5"/>
  <c r="G20" i="5"/>
  <c r="G21" i="5"/>
  <c r="G22" i="5"/>
  <c r="G23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9" i="5"/>
  <c r="G60" i="5"/>
  <c r="G14" i="5"/>
  <c r="G24" i="5"/>
  <c r="G25" i="5"/>
  <c r="G26" i="5"/>
  <c r="G28" i="5"/>
  <c r="G27" i="5"/>
  <c r="G63" i="5"/>
  <c r="G64" i="5"/>
  <c r="G65" i="5"/>
  <c r="G66" i="5"/>
  <c r="G10" i="5"/>
  <c r="G29" i="5"/>
  <c r="G30" i="5"/>
  <c r="G31" i="5"/>
  <c r="G32" i="5"/>
  <c r="G33" i="5"/>
  <c r="G34" i="5"/>
  <c r="G69" i="5"/>
  <c r="G70" i="5"/>
  <c r="G72" i="5"/>
  <c r="G73" i="5"/>
  <c r="G75" i="5"/>
  <c r="G76" i="5"/>
  <c r="G77" i="5"/>
  <c r="G78" i="5"/>
  <c r="G79" i="5"/>
  <c r="G80" i="5"/>
  <c r="G81" i="5"/>
  <c r="G84" i="5"/>
  <c r="G85" i="5"/>
  <c r="G86" i="5"/>
  <c r="G87" i="5"/>
  <c r="G88" i="5"/>
  <c r="G90" i="5"/>
  <c r="G91" i="5"/>
  <c r="G92" i="5"/>
  <c r="G93" i="5"/>
  <c r="G94" i="5"/>
  <c r="G97" i="5"/>
  <c r="G98" i="5"/>
  <c r="G99" i="5"/>
  <c r="G100" i="5"/>
  <c r="G101" i="5"/>
  <c r="G35" i="5"/>
  <c r="G103" i="5"/>
  <c r="G104" i="5"/>
  <c r="G105" i="5"/>
  <c r="G106" i="5"/>
  <c r="G107" i="5"/>
  <c r="G109" i="5"/>
  <c r="C109" i="5"/>
  <c r="C68" i="10"/>
  <c r="D68" i="10"/>
  <c r="E68" i="10"/>
  <c r="F68" i="10"/>
  <c r="G68" i="10"/>
  <c r="H68" i="10"/>
  <c r="I68" i="10"/>
  <c r="J68" i="10"/>
  <c r="K68" i="10"/>
  <c r="L68" i="10"/>
  <c r="M68" i="10"/>
  <c r="N68" i="10"/>
  <c r="D69" i="10"/>
  <c r="E69" i="10"/>
  <c r="F69" i="10"/>
  <c r="G69" i="10"/>
  <c r="H69" i="10"/>
  <c r="I69" i="10"/>
  <c r="J69" i="10"/>
  <c r="K69" i="10"/>
  <c r="L69" i="10"/>
  <c r="M69" i="10"/>
  <c r="N69" i="10"/>
  <c r="C70" i="10"/>
  <c r="D70" i="10"/>
  <c r="E70" i="10"/>
  <c r="F70" i="10"/>
  <c r="G70" i="10"/>
  <c r="H70" i="10"/>
  <c r="I70" i="10"/>
  <c r="J70" i="10"/>
  <c r="K70" i="10"/>
  <c r="L70" i="10"/>
  <c r="M70" i="10"/>
  <c r="N70" i="10"/>
  <c r="C71" i="10"/>
  <c r="D71" i="10"/>
  <c r="E71" i="10"/>
  <c r="F71" i="10"/>
  <c r="G71" i="10"/>
  <c r="H71" i="10"/>
  <c r="I71" i="10"/>
  <c r="J71" i="10"/>
  <c r="K71" i="10"/>
  <c r="L71" i="10"/>
  <c r="M71" i="10"/>
  <c r="N71" i="10"/>
  <c r="C72" i="10"/>
  <c r="D72" i="10"/>
  <c r="E72" i="10"/>
  <c r="F72" i="10"/>
  <c r="G72" i="10"/>
  <c r="H72" i="10"/>
  <c r="I72" i="10"/>
  <c r="J72" i="10"/>
  <c r="K72" i="10"/>
  <c r="L72" i="10"/>
  <c r="M72" i="10"/>
  <c r="N72" i="10"/>
  <c r="C73" i="10"/>
  <c r="D73" i="10"/>
  <c r="E73" i="10"/>
  <c r="F73" i="10"/>
  <c r="G73" i="10"/>
  <c r="H73" i="10"/>
  <c r="I73" i="10"/>
  <c r="J73" i="10"/>
  <c r="K73" i="10"/>
  <c r="L73" i="10"/>
  <c r="M73" i="10"/>
  <c r="N73" i="10"/>
  <c r="C74" i="10"/>
  <c r="D74" i="10"/>
  <c r="E74" i="10"/>
  <c r="F74" i="10"/>
  <c r="G74" i="10"/>
  <c r="H74" i="10"/>
  <c r="I74" i="10"/>
  <c r="J74" i="10"/>
  <c r="K74" i="10"/>
  <c r="L74" i="10"/>
  <c r="M74" i="10"/>
  <c r="N74" i="10"/>
  <c r="C75" i="10"/>
  <c r="D75" i="10"/>
  <c r="E75" i="10"/>
  <c r="F75" i="10"/>
  <c r="G75" i="10"/>
  <c r="H75" i="10"/>
  <c r="I75" i="10"/>
  <c r="J75" i="10"/>
  <c r="K75" i="10"/>
  <c r="L75" i="10"/>
  <c r="M75" i="10"/>
  <c r="N75" i="10"/>
  <c r="C76" i="10"/>
  <c r="D76" i="10"/>
  <c r="E76" i="10"/>
  <c r="F76" i="10"/>
  <c r="G76" i="10"/>
  <c r="H76" i="10"/>
  <c r="I76" i="10"/>
  <c r="J76" i="10"/>
  <c r="K76" i="10"/>
  <c r="L76" i="10"/>
  <c r="M76" i="10"/>
  <c r="N76" i="10"/>
  <c r="C77" i="10"/>
  <c r="D77" i="10"/>
  <c r="E77" i="10"/>
  <c r="F77" i="10"/>
  <c r="G77" i="10"/>
  <c r="H77" i="10"/>
  <c r="I77" i="10"/>
  <c r="J77" i="10"/>
  <c r="K77" i="10"/>
  <c r="L77" i="10"/>
  <c r="M77" i="10"/>
  <c r="N77" i="10"/>
  <c r="C78" i="10"/>
  <c r="D78" i="10"/>
  <c r="E78" i="10"/>
  <c r="F78" i="10"/>
  <c r="G78" i="10"/>
  <c r="H78" i="10"/>
  <c r="I78" i="10"/>
  <c r="J78" i="10"/>
  <c r="K78" i="10"/>
  <c r="L78" i="10"/>
  <c r="M78" i="10"/>
  <c r="N78" i="10"/>
  <c r="C79" i="10"/>
  <c r="D79" i="10"/>
  <c r="E79" i="10"/>
  <c r="F79" i="10"/>
  <c r="G79" i="10"/>
  <c r="H79" i="10"/>
  <c r="I79" i="10"/>
  <c r="J79" i="10"/>
  <c r="K79" i="10"/>
  <c r="L79" i="10"/>
  <c r="M79" i="10"/>
  <c r="N79" i="10"/>
  <c r="C80" i="10"/>
  <c r="D80" i="10"/>
  <c r="E80" i="10"/>
  <c r="F80" i="10"/>
  <c r="G80" i="10"/>
  <c r="H80" i="10"/>
  <c r="I80" i="10"/>
  <c r="J80" i="10"/>
  <c r="K80" i="10"/>
  <c r="L80" i="10"/>
  <c r="M80" i="10"/>
  <c r="N80" i="10"/>
  <c r="C81" i="10"/>
  <c r="D81" i="10"/>
  <c r="E81" i="10"/>
  <c r="F81" i="10"/>
  <c r="G81" i="10"/>
  <c r="H81" i="10"/>
  <c r="I81" i="10"/>
  <c r="J81" i="10"/>
  <c r="K81" i="10"/>
  <c r="L81" i="10"/>
  <c r="M81" i="10"/>
  <c r="N81" i="10"/>
  <c r="C82" i="10"/>
  <c r="D82" i="10"/>
  <c r="E82" i="10"/>
  <c r="F82" i="10"/>
  <c r="G82" i="10"/>
  <c r="H82" i="10"/>
  <c r="I82" i="10"/>
  <c r="J82" i="10"/>
  <c r="K82" i="10"/>
  <c r="L82" i="10"/>
  <c r="M82" i="10"/>
  <c r="N82" i="10"/>
  <c r="C83" i="10"/>
  <c r="D83" i="10"/>
  <c r="E83" i="10"/>
  <c r="F83" i="10"/>
  <c r="G83" i="10"/>
  <c r="H83" i="10"/>
  <c r="I83" i="10"/>
  <c r="J83" i="10"/>
  <c r="K83" i="10"/>
  <c r="L83" i="10"/>
  <c r="M83" i="10"/>
  <c r="N83" i="10"/>
  <c r="C84" i="10"/>
  <c r="D84" i="10"/>
  <c r="E84" i="10"/>
  <c r="F84" i="10"/>
  <c r="G84" i="10"/>
  <c r="H84" i="10"/>
  <c r="I84" i="10"/>
  <c r="J84" i="10"/>
  <c r="K84" i="10"/>
  <c r="L84" i="10"/>
  <c r="M84" i="10"/>
  <c r="N84" i="10"/>
  <c r="N85" i="10"/>
  <c r="G49" i="10"/>
  <c r="C49" i="10"/>
  <c r="D49" i="10"/>
  <c r="E49" i="10"/>
  <c r="F49" i="10"/>
  <c r="H49" i="10"/>
  <c r="I49" i="10"/>
  <c r="J49" i="10"/>
  <c r="K49" i="10"/>
  <c r="L49" i="10"/>
  <c r="M49" i="10"/>
  <c r="N49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C52" i="10"/>
  <c r="D52" i="10"/>
  <c r="E52" i="10"/>
  <c r="F52" i="10"/>
  <c r="G52" i="10"/>
  <c r="H52" i="10"/>
  <c r="I52" i="10"/>
  <c r="J52" i="10"/>
  <c r="K52" i="10"/>
  <c r="L52" i="10"/>
  <c r="M52" i="10"/>
  <c r="N52" i="10"/>
  <c r="C53" i="10"/>
  <c r="D53" i="10"/>
  <c r="E53" i="10"/>
  <c r="F53" i="10"/>
  <c r="G53" i="10"/>
  <c r="H53" i="10"/>
  <c r="I53" i="10"/>
  <c r="J53" i="10"/>
  <c r="K53" i="10"/>
  <c r="L53" i="10"/>
  <c r="M53" i="10"/>
  <c r="N53" i="10"/>
  <c r="C54" i="10"/>
  <c r="D54" i="10"/>
  <c r="E54" i="10"/>
  <c r="F54" i="10"/>
  <c r="G54" i="10"/>
  <c r="H54" i="10"/>
  <c r="I54" i="10"/>
  <c r="J54" i="10"/>
  <c r="K54" i="10"/>
  <c r="L54" i="10"/>
  <c r="M54" i="10"/>
  <c r="N54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C56" i="10"/>
  <c r="D56" i="10"/>
  <c r="E56" i="10"/>
  <c r="F56" i="10"/>
  <c r="G56" i="10"/>
  <c r="H56" i="10"/>
  <c r="I56" i="10"/>
  <c r="J56" i="10"/>
  <c r="K56" i="10"/>
  <c r="L56" i="10"/>
  <c r="M56" i="10"/>
  <c r="N56" i="10"/>
  <c r="N57" i="10"/>
  <c r="D35" i="10"/>
  <c r="C35" i="10"/>
  <c r="E35" i="10"/>
  <c r="F35" i="10"/>
  <c r="G35" i="10"/>
  <c r="H35" i="10"/>
  <c r="I35" i="10"/>
  <c r="J35" i="10"/>
  <c r="K35" i="10"/>
  <c r="L35" i="10"/>
  <c r="M35" i="10"/>
  <c r="N35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N41" i="10"/>
  <c r="M27" i="10"/>
  <c r="L27" i="10"/>
  <c r="K27" i="10"/>
  <c r="J27" i="10"/>
  <c r="I27" i="10"/>
  <c r="H27" i="10"/>
  <c r="G27" i="10"/>
  <c r="F27" i="10"/>
  <c r="E27" i="10"/>
  <c r="D27" i="10"/>
  <c r="N27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N28" i="10"/>
  <c r="C8" i="10"/>
  <c r="D8" i="10"/>
  <c r="E8" i="10"/>
  <c r="F8" i="10"/>
  <c r="G8" i="10"/>
  <c r="H8" i="10"/>
  <c r="I8" i="10"/>
  <c r="J8" i="10"/>
  <c r="K8" i="10"/>
  <c r="L8" i="10"/>
  <c r="M8" i="10"/>
  <c r="N8" i="10"/>
  <c r="J161" i="4"/>
  <c r="J118" i="4"/>
  <c r="J154" i="4"/>
  <c r="J7" i="4"/>
  <c r="J72" i="4"/>
  <c r="J137" i="4"/>
  <c r="J114" i="4"/>
  <c r="J190" i="4"/>
  <c r="J76" i="4"/>
  <c r="J62" i="4"/>
  <c r="J98" i="4"/>
  <c r="J113" i="4"/>
  <c r="J178" i="4"/>
  <c r="J39" i="4"/>
  <c r="J108" i="4"/>
  <c r="J164" i="4"/>
  <c r="J126" i="4"/>
  <c r="J54" i="4"/>
  <c r="J111" i="4"/>
  <c r="J131" i="4"/>
  <c r="J144" i="4"/>
  <c r="J83" i="4"/>
  <c r="J119" i="4"/>
  <c r="J127" i="4"/>
  <c r="J173" i="4"/>
  <c r="J82" i="4"/>
  <c r="J155" i="4"/>
  <c r="J81" i="4"/>
  <c r="J129" i="4"/>
  <c r="J145" i="4"/>
  <c r="J185" i="4"/>
  <c r="J11" i="4"/>
  <c r="J102" i="4"/>
  <c r="J59" i="4"/>
  <c r="J42" i="4"/>
  <c r="J90" i="4"/>
  <c r="J183" i="4"/>
  <c r="J17" i="4"/>
  <c r="J41" i="4"/>
  <c r="J23" i="4"/>
  <c r="J117" i="4"/>
  <c r="J130" i="4"/>
  <c r="J181" i="4"/>
  <c r="J61" i="4"/>
  <c r="J73" i="4"/>
  <c r="J175" i="4"/>
  <c r="J13" i="4"/>
  <c r="J135" i="4"/>
  <c r="J163" i="4"/>
  <c r="J158" i="4"/>
  <c r="J177" i="4"/>
  <c r="J10" i="4"/>
  <c r="J57" i="4"/>
  <c r="J55" i="4"/>
  <c r="J71" i="4"/>
  <c r="J52" i="4"/>
  <c r="J69" i="4"/>
  <c r="J195" i="4"/>
  <c r="J138" i="4"/>
  <c r="J5" i="4"/>
  <c r="J16" i="4"/>
  <c r="J20" i="4"/>
  <c r="J44" i="4"/>
  <c r="J79" i="4"/>
  <c r="J151" i="4"/>
  <c r="J64" i="4"/>
  <c r="J25" i="4"/>
  <c r="J48" i="4"/>
  <c r="J104" i="4"/>
  <c r="J112" i="4"/>
  <c r="J140" i="4"/>
  <c r="J33" i="4"/>
  <c r="J43" i="4"/>
  <c r="J74" i="4"/>
  <c r="J88" i="4"/>
  <c r="J18" i="4"/>
  <c r="J65" i="4"/>
  <c r="J80" i="4"/>
  <c r="J125" i="4"/>
  <c r="J193" i="4"/>
  <c r="J103" i="4"/>
  <c r="J9" i="4"/>
  <c r="J22" i="4"/>
  <c r="J115" i="4"/>
  <c r="J15" i="4"/>
  <c r="J58" i="4"/>
  <c r="J109" i="4"/>
  <c r="J12" i="4"/>
  <c r="J24" i="4"/>
  <c r="J27" i="4"/>
  <c r="J31" i="4"/>
  <c r="J168" i="4"/>
  <c r="J139" i="4"/>
  <c r="J152" i="4"/>
  <c r="J167" i="4"/>
  <c r="J179" i="4"/>
  <c r="J38" i="4"/>
  <c r="J60" i="4"/>
  <c r="J180" i="4"/>
  <c r="J68" i="4"/>
  <c r="J93" i="4"/>
  <c r="J101" i="4"/>
  <c r="J170" i="4"/>
  <c r="J182" i="4"/>
  <c r="J122" i="4"/>
  <c r="J142" i="4"/>
  <c r="J174" i="4"/>
  <c r="J187" i="4"/>
  <c r="J196" i="4"/>
  <c r="J143" i="4"/>
  <c r="J32" i="4"/>
  <c r="J149" i="4"/>
  <c r="J56" i="4"/>
  <c r="J124" i="4"/>
  <c r="J176" i="4"/>
  <c r="J40" i="4"/>
  <c r="J45" i="4"/>
  <c r="J46" i="4"/>
  <c r="J49" i="4"/>
  <c r="J30" i="4"/>
  <c r="J156" i="4"/>
  <c r="J29" i="4"/>
  <c r="J77" i="4"/>
  <c r="J19" i="4"/>
  <c r="J147" i="4"/>
  <c r="J148" i="4"/>
  <c r="J34" i="4"/>
  <c r="J21" i="4"/>
  <c r="J95" i="4"/>
  <c r="J153" i="4"/>
  <c r="J160" i="4"/>
  <c r="J26" i="4"/>
  <c r="J92" i="4"/>
  <c r="J141" i="4"/>
  <c r="J171" i="4"/>
  <c r="J186" i="4"/>
  <c r="J189" i="4"/>
  <c r="J86" i="4"/>
  <c r="J89" i="4"/>
  <c r="J47" i="4"/>
  <c r="J84" i="4"/>
  <c r="J97" i="4"/>
  <c r="J66" i="4"/>
  <c r="J70" i="4"/>
  <c r="J105" i="4"/>
  <c r="J146" i="4"/>
  <c r="J150" i="4"/>
  <c r="J159" i="4"/>
  <c r="J123" i="4"/>
  <c r="J50" i="4"/>
  <c r="J94" i="4"/>
  <c r="J96" i="4"/>
  <c r="J121" i="4"/>
  <c r="J85" i="4"/>
  <c r="J99" i="4"/>
  <c r="J132" i="4"/>
  <c r="J133" i="4"/>
  <c r="J162" i="4"/>
  <c r="J28" i="4"/>
  <c r="J184" i="4"/>
  <c r="J188" i="4"/>
  <c r="J14" i="4"/>
  <c r="J87" i="4"/>
  <c r="J107" i="4"/>
  <c r="J120" i="4"/>
  <c r="J166" i="4"/>
  <c r="J78" i="4"/>
  <c r="J172" i="4"/>
  <c r="J36" i="4"/>
  <c r="J63" i="4"/>
  <c r="J91" i="4"/>
  <c r="J110" i="4"/>
  <c r="J191" i="4"/>
  <c r="J197" i="4"/>
  <c r="J134" i="4"/>
  <c r="J8" i="4"/>
  <c r="J128" i="4"/>
  <c r="J136" i="4"/>
  <c r="J6" i="4"/>
  <c r="J100" i="4"/>
  <c r="J51" i="4"/>
  <c r="J35" i="4"/>
  <c r="F44" i="2"/>
</calcChain>
</file>

<file path=xl/sharedStrings.xml><?xml version="1.0" encoding="utf-8"?>
<sst xmlns="http://schemas.openxmlformats.org/spreadsheetml/2006/main" count="1807" uniqueCount="492">
  <si>
    <t>Ecological indicators</t>
  </si>
  <si>
    <t>International Journal of Sustainable Development and World Economy</t>
  </si>
  <si>
    <t>Journal of Cleaner Production</t>
  </si>
  <si>
    <t>Journal of Manufacturing Technology Management</t>
  </si>
  <si>
    <t>Research in Engineering Design</t>
  </si>
  <si>
    <t>Management of Environmental Quality</t>
  </si>
  <si>
    <t>Clean Technologies and Environmental Policy</t>
  </si>
  <si>
    <t>Organization and Environment</t>
  </si>
  <si>
    <t>Journal of Modelling in Management</t>
  </si>
  <si>
    <t>International Journal of Operations and Production Management</t>
  </si>
  <si>
    <t>International Journal of Computer Integrated Manufacturing</t>
  </si>
  <si>
    <t>HandBook of Manufacturing Engineering and Technology</t>
  </si>
  <si>
    <t xml:space="preserve">Journal of Engineering and Technology Management </t>
  </si>
  <si>
    <t>Construction and Building Materials</t>
  </si>
  <si>
    <t>Journal of Construction Engineering and Management</t>
  </si>
  <si>
    <t>International Journal of Project Management</t>
  </si>
  <si>
    <t>Construction Innovation</t>
  </si>
  <si>
    <t>Engineering, Construction and Architectural Management</t>
  </si>
  <si>
    <t>Advances in Appreciative Inquiry</t>
  </si>
  <si>
    <t>Proceedings of the Institution of Civil Engineers: Engineering Sustainability</t>
  </si>
  <si>
    <t>International Journal of Production Economics</t>
  </si>
  <si>
    <t>International Journal of Environmental Technology and Management</t>
  </si>
  <si>
    <t>International Journal of Interdisciplinary Social Sciences</t>
  </si>
  <si>
    <t>Building and Environment</t>
  </si>
  <si>
    <t>Journal of Industrial Ecology</t>
  </si>
  <si>
    <t>Business Strategy and the Environment</t>
  </si>
  <si>
    <t>International Journal of Physical Distribution and Logistics Management</t>
  </si>
  <si>
    <t>International Journal of Supply Chain Management</t>
  </si>
  <si>
    <t>Supply Chain Management</t>
  </si>
  <si>
    <t>Management Research Review</t>
  </si>
  <si>
    <t>Benchmarking</t>
  </si>
  <si>
    <t>Decision Support Systems</t>
  </si>
  <si>
    <t>Treatise on Sustainability Science and Engineering</t>
  </si>
  <si>
    <t>European Business Review</t>
  </si>
  <si>
    <t>Industrial Engineer</t>
  </si>
  <si>
    <t>SpringerBriefs in Applied Sciences and Technology</t>
  </si>
  <si>
    <t>California Management Review</t>
  </si>
  <si>
    <t>Type</t>
  </si>
  <si>
    <t>Fields</t>
  </si>
  <si>
    <t>Export</t>
  </si>
  <si>
    <t>Period</t>
  </si>
  <si>
    <t>Restricted to period 2006-2016</t>
  </si>
  <si>
    <t>Keywords</t>
  </si>
  <si>
    <t>Value*</t>
  </si>
  <si>
    <t>Sustainab*</t>
  </si>
  <si>
    <t>Innovat*</t>
  </si>
  <si>
    <t>System*</t>
  </si>
  <si>
    <t>Design*</t>
  </si>
  <si>
    <t>Technolog*</t>
  </si>
  <si>
    <t>Develop*</t>
  </si>
  <si>
    <t>Offer*</t>
  </si>
  <si>
    <t>Engineer*</t>
  </si>
  <si>
    <t>Product*</t>
  </si>
  <si>
    <t>Service*</t>
  </si>
  <si>
    <t>Complete search query</t>
  </si>
  <si>
    <t>TITLE-ABS-KEY(Value*  AND Sustainab* AND (engineer* OR innovat* OR design* OR develop*) AND (system* OR technolog* OR offer* OR product* OR service*)) AND PUBYEAR &gt; 2006 AND ( LIMIT-TO(DOCTYPE,"ar" ) OR LIMIT-TO(DOCTYPE,"re" ) OR LIMIT-TO(DOCTYPE,"ch" ) )</t>
  </si>
  <si>
    <t xml:space="preserve">TITLE-ABS-KEY ( value*  AND  sustainab*  AND  innovat* )  AND  PUBYEAR  &gt;  2006  AND  ( LIMIT-TO ( DOCTYPE ,  "ar" )  OR  LIMIT-TO ( DOCTYPE ,  "re" )  OR  LIMIT-TO ( DOCTYPE ,  "ch" ) )  </t>
  </si>
  <si>
    <t xml:space="preserve">TITLE-ABS-KEY ( value*  AND  sustainab*  AND  innovat*  AND  system* )  AND  PUBYEAR  &gt;  2006  AND  ( LIMIT-TO ( DOCTYPE ,  "ar" )  OR  LIMIT-TO ( DOCTYPE ,  "re" )  OR  LIMIT-TO ( DOCTYPE ,  "ch" ) )  </t>
  </si>
  <si>
    <t>TITLE-ABS-KEY(Value* AND Sustainab* AND Innovat* AND technol*) AND PUBYEAR &gt; 2006 AND ( LIMIT-TO(DOCTYPE,"ar" ) OR LIMIT-TO(DOCTYPE,"re" ) OR LIMIT-TO(DOCTYPE,"ch" ) )</t>
  </si>
  <si>
    <t>TITLE-ABS-KEY(Value* AND Sustainab* AND Innovat* AND offer*) AND PUBYEAR &gt; 2006 AND ( LIMIT-TO(DOCTYPE,"ar" ) OR LIMIT-TO(DOCTYPE,"re" ) OR LIMIT-TO(DOCTYPE,"ch" ) )</t>
  </si>
  <si>
    <t>TITLE-ABS-KEY(Value* AND Sustainab* AND Innovat* AND product*) AND PUBYEAR &gt; 2006 AND ( LIMIT-TO(DOCTYPE,"ar" ) OR LIMIT-TO(DOCTYPE,"re" ) OR LIMIT-TO(DOCTYPE,"ch" ) )</t>
  </si>
  <si>
    <t>TITLE-ABS-KEY ( value*  AND  sustainab*  AND  innovat*  AND  service* )  AND  PUBYEAR  &gt;  2006  AND  ( LIMIT-TO ( DOCTYPE ,  "ar" )  OR  LIMIT-TO ( DOCTYPE ,  "re" )  OR  LIMIT-TO ( DOCTYPE ,  "ch" ) )</t>
  </si>
  <si>
    <t xml:space="preserve">TITLE-ABS-KEY ( value*  AND  sustainab*  AND  design* )  AND  PUBYEAR  &gt;  2006  AND  ( LIMIT-TO ( DOCTYPE ,  "ar" )  OR  LIMIT-TO ( DOCTYPE ,  "re" )  OR  LIMIT-TO ( DOCTYPE ,  "ch" ) ) </t>
  </si>
  <si>
    <t xml:space="preserve">TITLE-ABS-KEY ( value*  AND  sustainab*  AND  design*  AND  system* )  AND  PUBYEAR  &gt;  2006  AND  ( LIMIT-TO ( DOCTYPE ,  "ar" )  OR  LIMIT-TO ( DOCTYPE ,  "re" )  OR  LIMIT-TO ( DOCTYPE ,  "ch" ) ) </t>
  </si>
  <si>
    <t>TITLE-ABS-KEY(Value* AND Sustainab* AND design* AND technolog*) AND PUBYEAR &gt; 2006 AND ( LIMIT-TO(DOCTYPE,"ar" ) OR LIMIT-TO(DOCTYPE,"re" ) OR LIMIT-TO(DOCTYPE,"ch" ) )</t>
  </si>
  <si>
    <t xml:space="preserve">TITLE-ABS-KEY ( value*  AND  sustainab*  AND  design*  AND  offer* )  AND  PUBYEAR  &gt;  2006  AND  ( LIMIT-TO ( DOCTYPE ,  "ar" )  OR  LIMIT-TO ( DOCTYPE ,  "re" )  OR  LIMIT-TO ( DOCTYPE ,  "ch" ) )  </t>
  </si>
  <si>
    <t>TITLE-ABS-KEY(Value* AND Sustainab* AND design* AND product*) AND PUBYEAR &gt; 2006 AND ( LIMIT-TO(DOCTYPE,"ar" ) OR LIMIT-TO(DOCTYPE,"re" ) OR LIMIT-TO(DOCTYPE,"ch" ) )</t>
  </si>
  <si>
    <t>TITLE-ABS-KEY(Value* AND Sustainab* AND design* AND service*) AND PUBYEAR &gt; 2006 AND ( LIMIT-TO(DOCTYPE,"ar" ) OR LIMIT-TO(DOCTYPE,"re" ) OR LIMIT-TO(DOCTYPE,"ch" ) )</t>
  </si>
  <si>
    <t xml:space="preserve">TITLE-ABS-KEY ( value*  AND  sustainab*  AND  develop* )  AND  PUBYEAR  &gt;  2006  AND  ( LIMIT-TO ( DOCTYPE ,  "ar" )  OR  LIMIT-TO ( DOCTYPE ,  "re" )  OR  LIMIT-TO ( DOCTYPE ,  "ch" ) )  </t>
  </si>
  <si>
    <t>TITLE-ABS-KEY(Value* AND Sustainab* AND develop* AND system*) AND PUBYEAR &gt; 2006 AND ( LIMIT-TO(DOCTYPE,"ar" ) OR LIMIT-TO(DOCTYPE,"re" ) OR LIMIT-TO(DOCTYPE,"ch" ) )</t>
  </si>
  <si>
    <t>TITLE-ABS-KEY(Value* AND Sustainab* AND develop* AND technolog*) AND PUBYEAR &gt; 2006 AND ( LIMIT-TO(DOCTYPE,"ar" ) OR LIMIT-TO(DOCTYPE,"re" ) OR LIMIT-TO(DOCTYPE,"ch" ) )</t>
  </si>
  <si>
    <t>TITLE-ABS-KEY(Value* AND Sustainab* AND develop* AND offer*) AND PUBYEAR &gt; 2006 AND ( LIMIT-TO(DOCTYPE,"ar" ) OR LIMIT-TO(DOCTYPE,"re" ) OR LIMIT-TO(DOCTYPE,"ch" ) )</t>
  </si>
  <si>
    <t xml:space="preserve">TITLE-ABS-KEY ( value*  AND  sustainab*  AND  develop*  AND  product* )  AND  PUBYEAR  &gt;  2006  AND  ( LIMIT-TO ( DOCTYPE ,  "ar" )  OR  LIMIT-TO ( DOCTYPE ,  "re" )  OR  LIMIT-TO ( DOCTYPE ,  "ch" ) )  </t>
  </si>
  <si>
    <t xml:space="preserve">TITLE-ABS-KEY ( value*  AND  sustainab*  AND  develop*  AND  service* )  AND  PUBYEAR  &gt;  2006  AND  ( LIMIT-TO ( DOCTYPE ,  "ar" )  OR  LIMIT-TO ( DOCTYPE ,  "re" )  OR  LIMIT-TO ( DOCTYPE ,  "ch" ) )  </t>
  </si>
  <si>
    <t>TITLE-ABS-KEY ( value*  AND  sustainab*  AND  engineer* )  AND  PUBYEAR  &gt;  2006  AND  ( LIMIT-TO ( DOCTYPE ,  "ar" )  OR  LIMIT-TO ( DOCTYPE ,  "re" )  OR  LIMIT-TO ( DOCTYPE ,  "ch" ) )</t>
  </si>
  <si>
    <t xml:space="preserve">TITLE-ABS-KEY ( value*  AND  sustainab*  AND  engineer*  AND  system* )  AND  PUBYEAR  &gt;  2006  AND  ( LIMIT-TO ( DOCTYPE ,  "ar" )  OR  LIMIT-TO ( DOCTYPE ,  "re" )  OR  LIMIT-TO ( DOCTYPE ,  "ch" ) )  </t>
  </si>
  <si>
    <t>TITLE-ABS-KEY(Value* AND Sustainab* AND engineer* AND technolog*) AND PUBYEAR &gt; 2006 AND ( LIMIT-TO(DOCTYPE,"ar" ) OR LIMIT-TO(DOCTYPE,"re" ) OR LIMIT-TO(DOCTYPE,"ch" ) )</t>
  </si>
  <si>
    <t>TITLE-ABS-KEY(Value* AND Sustainab* AND engineer* AND offer*) AND PUBYEAR &gt; 2006 AND ( LIMIT-TO(DOCTYPE,"ar" ) OR LIMIT-TO(DOCTYPE,"re" ) OR LIMIT-TO(DOCTYPE,"ch" ) )</t>
  </si>
  <si>
    <t>TITLE-ABS-KEY(Value* AND Sustainab* AND engineer* AND product*) AND PUBYEAR &gt; 2006 AND ( LIMIT-TO(DOCTYPE,"ar" ) OR LIMIT-TO(DOCTYPE,"re" ) OR LIMIT-TO(DOCTYPE,"ch" ) )</t>
  </si>
  <si>
    <t xml:space="preserve">TITLE-ABS-KEY ( value*  AND  sustainab*  AND  engineer*  AND  service* )  AND  PUBYEAR  &gt;  2006  AND  ( LIMIT-TO ( DOCTYPE ,  "ar" )  OR  LIMIT-TO ( DOCTYPE ,  "re" )  OR  LIMIT-TO ( DOCTYPE ,  "ch" ) )  </t>
  </si>
  <si>
    <t>EuroChoices</t>
  </si>
  <si>
    <t>International Journal of Sustainable Manufacturing</t>
  </si>
  <si>
    <t>International Journal of Innovation Science</t>
  </si>
  <si>
    <t>Service Science Research, Strategy and Innovation: Dynamic Knowledge Management Methods</t>
  </si>
  <si>
    <t>International Journal of Innovation and Sustainable Development</t>
  </si>
  <si>
    <t>TQM Journal</t>
  </si>
  <si>
    <t>Journal of Engineering, Design and Technology</t>
  </si>
  <si>
    <t>Journal of Product Innovation Management</t>
  </si>
  <si>
    <t>International Journal of Production Research</t>
  </si>
  <si>
    <t>Journal of Business and Industrial Marketing</t>
  </si>
  <si>
    <t>Handbook of Ethics, Values, and Technological Design: Sources, Theory, Values and Application Domains</t>
  </si>
  <si>
    <t>Business Horizons</t>
  </si>
  <si>
    <t>Research Technology Management</t>
  </si>
  <si>
    <t>Journal of Industrial and Production Engineering</t>
  </si>
  <si>
    <t>Journal on Chain and Network Science</t>
  </si>
  <si>
    <t>Journal of Environmental Management</t>
  </si>
  <si>
    <t>Environmental and Resource Economics</t>
  </si>
  <si>
    <t>Measuring Business Excellence</t>
  </si>
  <si>
    <t>International Journal of Advanced Manufacturing Technology</t>
  </si>
  <si>
    <t>TQM Magazine</t>
  </si>
  <si>
    <t>Technological, Managerial and Organizational Core Competencies: Dynamic Innovation and Sustainable Development</t>
  </si>
  <si>
    <t>European Journal of Innovation Management</t>
  </si>
  <si>
    <t>International Journal of Sustainable Engineering</t>
  </si>
  <si>
    <t>International Journal for Quality Research</t>
  </si>
  <si>
    <t>Handbook of Research on Sustainable Development and Economics</t>
  </si>
  <si>
    <t>Environmental Monitoring and Assessment</t>
  </si>
  <si>
    <t>EuroMed Journal of Business</t>
  </si>
  <si>
    <t>Sustainability</t>
  </si>
  <si>
    <t>Ecological Economics</t>
  </si>
  <si>
    <t>CIRP Annals - Manufacturing Technology</t>
  </si>
  <si>
    <t>Problemy Ekorozwoju</t>
  </si>
  <si>
    <t>Materials and Design</t>
  </si>
  <si>
    <t>Journal of Mechanical Design, Transactions of the ASME</t>
  </si>
  <si>
    <t>International Journal of Automation Technology</t>
  </si>
  <si>
    <t>International Journal of Agile Systems and Management</t>
  </si>
  <si>
    <t>Archives of Materials Science and Engineering</t>
  </si>
  <si>
    <t>International Journal of Product Lifecycle Management</t>
  </si>
  <si>
    <t>International Journal of Engineering Education</t>
  </si>
  <si>
    <t>Manufacturing and Service Operations Management</t>
  </si>
  <si>
    <t>Journal of Industrial Engineering and Management</t>
  </si>
  <si>
    <t>Foresight</t>
  </si>
  <si>
    <t>Kybernetes</t>
  </si>
  <si>
    <t>Business Process Management Journal</t>
  </si>
  <si>
    <t>Journal of Accounting and Organizational Change</t>
  </si>
  <si>
    <t>Sustainability: Multi-Disciplinary Perspectives</t>
  </si>
  <si>
    <t>Journal of Strategic Marketing</t>
  </si>
  <si>
    <t>International Journal of Industrial Engineering : Theory Applications and Practice</t>
  </si>
  <si>
    <t>Industrial Management and Data Systems</t>
  </si>
  <si>
    <t>Journal of Consumer Marketing</t>
  </si>
  <si>
    <t>Energy Policy</t>
  </si>
  <si>
    <t>Building Research and Information</t>
  </si>
  <si>
    <t>European Journal of Operational Research</t>
  </si>
  <si>
    <t>Structural Survey</t>
  </si>
  <si>
    <t>Expert Systems with Applications</t>
  </si>
  <si>
    <t>Year</t>
  </si>
  <si>
    <t># papers</t>
  </si>
  <si>
    <t>Impact ratio</t>
  </si>
  <si>
    <t>Operational</t>
  </si>
  <si>
    <t>Tactical</t>
  </si>
  <si>
    <t>Strategic</t>
  </si>
  <si>
    <t>Materials</t>
  </si>
  <si>
    <t>CIRP Journal of Manufacturing Science and Technology</t>
  </si>
  <si>
    <t>Journal Name</t>
  </si>
  <si>
    <t>Journal name</t>
  </si>
  <si>
    <t>Full reference</t>
  </si>
  <si>
    <t>Literature review statistics</t>
  </si>
  <si>
    <t>Database</t>
  </si>
  <si>
    <t>Scopus</t>
  </si>
  <si>
    <t>CSV file with citations and abstract information</t>
  </si>
  <si>
    <t>Visualization</t>
  </si>
  <si>
    <t>"Article"</t>
  </si>
  <si>
    <t>"Review"</t>
  </si>
  <si>
    <t>"Book chapter"</t>
  </si>
  <si>
    <t>"Article title"</t>
  </si>
  <si>
    <t>"Abstract"</t>
  </si>
  <si>
    <t>"Keyword"</t>
  </si>
  <si>
    <t>Abstract selected</t>
  </si>
  <si>
    <t>Methodology</t>
  </si>
  <si>
    <t>Indicator</t>
  </si>
  <si>
    <t>Matrix</t>
  </si>
  <si>
    <t>Model/Function</t>
  </si>
  <si>
    <t>Survey/Experiment</t>
  </si>
  <si>
    <t>Type of contribution</t>
  </si>
  <si>
    <t>Industrial sector</t>
  </si>
  <si>
    <t>Advanced Engineering</t>
  </si>
  <si>
    <t>Review/Themes</t>
  </si>
  <si>
    <t>Framework/Roadmap</t>
  </si>
  <si>
    <t>Citations per year</t>
  </si>
  <si>
    <t>ISO Standard</t>
  </si>
  <si>
    <t>De Vries, B. J., &amp; Petersen, A. C. (2009). Conceptualizing sustainable development: An assessment methodology connecting values, knowledge, worldviews and scenarios. Ecological Economics, 68(4), 1006-1019.</t>
  </si>
  <si>
    <t>Pádua, S. I. D., &amp; Jabbour, C. J. C. (2015). Promotion and evolution of sustainability performance measurement systems from a perspective of business process management: From a literature review to a pentagonal proposal. Business Process Management Journal, 21(2), 403-418. Chicago</t>
  </si>
  <si>
    <t>Rainey, D. L. (2011). A Model for Improving the Adoption of Sustainability in the Context of Globalization and Innovation. Technological, Managerial and Organizational Core Competencies: Dynamic Innovation and Sustainable Development: Dynamic Innovation and Sustainable Development, 18.</t>
  </si>
  <si>
    <t>Valkokari, K., Valkokari, P., Palomäki, K., Uusitalo, T., Reunanen, M., Macchi, M., Rana, P. &amp; Prasanna Liyanage, J. (2014). Road-mapping the business potential of sustainability within the European manufacturing industry. Foresight, 16(4), 360-384.</t>
  </si>
  <si>
    <t>Moore, S. B., &amp; Manring, S. L. (2009). Strategy development in small and medium sized enterprises for sustainability and increased value creation. Journal of cleaner production, 17(2), 276-282.</t>
  </si>
  <si>
    <r>
      <t>Beckmann, M., Hielscher, S., &amp; Pies, I. (2014). Commitment Strategies for Sustainability: How Business Firms Can Transform Trade</t>
    </r>
    <r>
      <rPr>
        <sz val="12"/>
        <color indexed="8"/>
        <rFont val="Operating instructions"/>
      </rPr>
      <t>‐</t>
    </r>
    <r>
      <rPr>
        <sz val="12"/>
        <color indexed="8"/>
        <rFont val="Arial Narrow"/>
      </rPr>
      <t>Offs Into Win–Win Outcomes. Business Strategy and the Environment, 23(1), 18-37.</t>
    </r>
  </si>
  <si>
    <t>Gimenez, C., &amp; Tachizawa, E. M. (2012). Extending sustainability to suppliers: a systematic literature review. Supply Chain Management: An International Journal, 17(5), 531-543.</t>
  </si>
  <si>
    <t>Aschehoug, S. H., &amp; Boks, C. (2013). Towards a framework for sustainability information in product development. International Journal of Sustainable Engineering, 6(2), 94-108.</t>
  </si>
  <si>
    <t>Lindsey, T. C. (2011). Sustainable principles: common values for achieving sustainability. Journal of Cleaner Production, 19(5), 561-565.</t>
  </si>
  <si>
    <t>Girotra, K., &amp; Netessine, S. (2013). OM Forum-Business Model Innovation for Sustainability. Manufacturing &amp; Service Operations Management, 15(4), 537-544.</t>
  </si>
  <si>
    <t>Fellows, R., &amp; Liu, A. (2008, December). Impact of participants’ values on construction sustainability. In Proceedings of the Institution of Civil Engineers–Engineering Sustainability (Vol. 161, No. 4, pp. 219-227).</t>
  </si>
  <si>
    <t>Bocken, N. M. P., Short, S. W., Rana, P., &amp; Evans, S. (2014). A literature and practice review to develop sustainable business model archetypes. Journal of Cleaner Production, 65, 42-56.</t>
  </si>
  <si>
    <t>Schaltegger, S., Lüdeke-Freund, F., &amp; Hansen, E. G. (2012). Business cases for sustainability: the role of business model innovation for corporate sustainability. International Journal of Innovation and Sustainable Development, 6(2), 95-119.</t>
  </si>
  <si>
    <t>Roome, N., &amp; Louche, C. (2015). Journeying Toward Business Models for Sustainability A Conceptual Model Found Inside the Black Box of Organisational Transformation. Organization &amp; Environment, 1086026615595084.</t>
  </si>
  <si>
    <t>Kuosmanen, T., &amp; Kuosmanen, N. (2009). How not to measure sustainable value (and how one might). Ecological Economics, 69(2), 235-243.</t>
  </si>
  <si>
    <t>Alblas, A. A., Peters, K., &amp; Wortmann, J. C. (2014). Fuzzy sustainability incentives in new product development: An empirical exploration of sustainability challenges in manufacturing companies. International Journal of Operations &amp; Production Management, 34(4), 513-545.</t>
  </si>
  <si>
    <t>Chou, C. J., Chen, C. W., &amp; Conley, C. (2015). An approach to assessing sustainable product-service systems. Journal of Cleaner Production, 86, 277-284.</t>
  </si>
  <si>
    <t>Pan, J. N., &amp; Nguyen, H. T. N. (2015). Achieving customer satisfaction through product–service systems. European Journal of Operational Research, 247(1), 179-190.</t>
  </si>
  <si>
    <t>Fujii, M., Hayashi, K., Ito, H., &amp; Ooba, M. (2014). The resource occupancy to capacity ratio indicator—A common unit to measure sustainability. Ecological Indicators, 46, 52-58.</t>
  </si>
  <si>
    <t>Harik, R., El Hachem, W., Medini, K., &amp; Bernard, A. (2015). Towards a holistic sustainability index for measuring sustainability of manufacturing companies. International Journal of Production Research, 53(13), 4117-4139.</t>
  </si>
  <si>
    <t>Chiu, M. C., Kuo, M. Y., &amp; Kuo, T. C. (2015).A systematic methodology to develop business model of a product service system. International Journal of Industrial Engineering, 22(3).</t>
  </si>
  <si>
    <t>Fearne, A., Garcia Martinez, M., &amp; Dent, B. (2012). Dimensions of sustainable value chains: implications for value chain analysis. Supply Chain Management: An International Journal, 17(6), 575-581.</t>
  </si>
  <si>
    <t>Searcy, C. (2009). Setting a course in corporate sustainability performance measurement. Measuring Business Excellence, 13(3), 49-57.</t>
  </si>
  <si>
    <t>Egilmez, G., Kucukvar, M., &amp; Tatari, O. (2013). Sustainability assessment of US manufacturing sectors: an economic input output-based frontier approach. Journal of Cleaner Production, 53, 91-102.</t>
  </si>
  <si>
    <t>Figge, F., &amp; Hahn, T. (2012). Is green and profitable sustainable? Assessing the trade-off between economic and environmental aspects. International Journal of Production Economics, 140(1), 92-102.</t>
  </si>
  <si>
    <t>Henriques, J., &amp; Catarino, J. (2015). Sustainable value and cleaner production–research and application in 19 Portuguese SME. Journal of Cleaner Production, 96, 379-386.</t>
  </si>
  <si>
    <t>Olson, E. L. (2013). Perspective: the green innovation value chain: a tool for evaluating the diffusion prospects of green products. Journal of Product Innovation Management, 30(4), 782-793.</t>
  </si>
  <si>
    <t>Coskun, S., Ozgur, L., Polat, O., &amp; Gungor, A. (2016). A model proposal for green supply chain network design based on consumer segmentation. Journal of Cleaner Production, 110, 149-157.</t>
  </si>
  <si>
    <t>Buxel, H., Esenduran, G., &amp; Griffin, S. (2015). Strategic sustainability: Creating business value with life cycle analysis. Business Horizons, 58(1), 109-122.</t>
  </si>
  <si>
    <t>Copani, G., &amp; Rosa, P. (2015). DEMAT: sustainability assessment of new flexibility-oriented business models in the machine tools industry. International Journal of Computer Integrated Manufacturing, 28(4), 408-417.</t>
  </si>
  <si>
    <t>Ding, H., Zhao, Q., An, Z., Xu, J., &amp; Liu, Q. (2015). Pricing strategy of environmental sustainable supply chain with internalizing externalities. International Journal of Production Economics, 170, 563-575.</t>
  </si>
  <si>
    <t>Abdelkafi, N., &amp; Täuscher, K. (2015). Business Models for Sustainability From a System Dynamics Perspective. Organization &amp; Environment, 1086026615592930.</t>
  </si>
  <si>
    <t>Vinodh, S., Ruben, R. B., &amp; Asokan, P. (2016). Life cycle assessment integrated value stream mapping framework to ensure sustainable manufacturing: a case study. Clean Technologies and Environmental Policy, 18(1), 279-295.</t>
  </si>
  <si>
    <t>Bhattacharjee, S., &amp; Cruz, J. (2015). Economic sustainability of closed loop supply chains: A holistic model for decision and policy analysis. Decision Support Systems, 77, 67-86.</t>
  </si>
  <si>
    <t>Carter, C. R., &amp; Liane Easton, P. (2011). Sustainable supply chain management: evolution and future directions. International journal of physical distribution &amp; logistics management, 41(1), 46-62.</t>
  </si>
  <si>
    <t>Boons, F., &amp; Lüdeke-Freund, F. (2013). Business models for sustainable innovation: state-of-the-art and steps towards a research agenda. Journal of Cleaner Production, 45, 9-19.</t>
  </si>
  <si>
    <t>Ashby, A., Leat, M., &amp; Hudson-Smith, M. (2012). Making connections: a review of supply chain management and sustainability literature. Supply Chain Management: An International Journal, 17(5), 497-516.</t>
  </si>
  <si>
    <t>Dahl, A. L. (2012). Achievements and gaps in indicators for sustainability. Ecological Indicators, 17, 14-19.</t>
  </si>
  <si>
    <t>Abbasi, M., &amp; Nilsson, F. (2012). Themes and challenges in making supply chains environmentally sustainable. Supply Chain Management: An International Journal, 17(5), 517-530.</t>
  </si>
  <si>
    <t>Bryson, J. R., &amp; Lombardi, R. (2009). Balancing product and process sustainability against business profitability: Sustainability as a competitive strategy in the property development process. Business Strategy and the Environment, 18(2), 97-107.</t>
  </si>
  <si>
    <t>Halila, F., &amp; Rundquist, J. (2011). The development and market success of eco-innovations: A comparative study of eco-innovations and “other” innovations in Sweden. European Journal of Innovation Management, 14(3), 278-302.</t>
  </si>
  <si>
    <t>Heikkurinen, P., &amp; Bonnedahl, K. J. (2013). Corporate responsibility for sustainable development: a review and conceptual comparison of market-and stakeholder-oriented strategies. Journal of Cleaner Production, 43, 191-198.</t>
  </si>
  <si>
    <t>Kurapatskie, B., &amp; Darnall, N. (2013). Which corporate sustainability activities are associated with greater financial payoffs?. Business strategy and the environment, 22(1), 49-61.</t>
  </si>
  <si>
    <t>Bolis, I., Morioka, S. N., &amp; Sznelwar, L. I. (2014). When sustainable development risks losing its meaning. Delimiting the concept with a comprehensive literature review and a conceptual model. Journal of Cleaner Production, 83, 7-20.</t>
  </si>
  <si>
    <t>Kronborg Jensen J., Balslev Munksgaard, K., &amp; Stentoft Arlbjørn, J. (2013). Chasing value offerings through green supply chain innovation. European Business Review, 25(2), 124-146.</t>
  </si>
  <si>
    <t>Tollin, K., &amp; Vej, J. (2012). Sustainability in business: understanding meanings, triggers and enablers. Journal of Strategic Marketing, 20(7), 625-641.</t>
  </si>
  <si>
    <t>Menzel, V., Smagin, J., &amp; David, F. (2010). Can companies profit from greener manufacturing?. Measuring Business Excellence, 14(2), 22-31.</t>
  </si>
  <si>
    <t>Yunus, R., &amp; Yang, J. (2012). Critical sustainability factors in industrialised building systems. Construction Innovation, 12(4), 447-463.</t>
  </si>
  <si>
    <t>Ciasullo,V. M., &amp; Troisi, O. (2013). Sustainable value creation in SMEs: A case study. The TQM Journal, 25(1), 44-61.</t>
  </si>
  <si>
    <t>Biggemann, S., Williams, M., &amp; Kro, G. (2014). Building in sustainability, social responsibility and value co-creation. Journal of Business &amp; Industrial Marketing, 29(4), 304-312.</t>
  </si>
  <si>
    <t>Marchet, G., Melacini, M., &amp; Perotti, S. (2014). Environmental sustainability in logistics and freight transportation: A literature review and research agenda. Journal of Manufacturing Technology Management, 25(6), 775-811.</t>
  </si>
  <si>
    <t>Keskin, D., Diehl, J. C., &amp; Molenaar, N. (2013). Innovation process of new ventures driven by sustainability. Journal of Cleaner Production, 45, 50-60.</t>
  </si>
  <si>
    <t>Kastalli, I. V., Van Looy, B., &amp; Neely, A. (2013). Steering manufacturing firms towards service business model innovation. California management review, 56(1), 100-123.</t>
  </si>
  <si>
    <t>Tsai, M. T., Chuang, L. M., Chao, S. T., &amp; Chang, H. P. (2012). The effects assessment of firm environmental strategy and customer environmental conscious on green product development. Environmental monitoring and assessment, 184(7), 4435-4447.</t>
  </si>
  <si>
    <t>Raska, D., &amp; Shaw, D. (2012). When is going green good for company image?. Management Research Review, 35(3/4), 326-347.</t>
  </si>
  <si>
    <t>Ortas, E., M. Moneva, J., &amp; Álvarez, I. (2014). Sustainable supply chain and company performance: a global examination. Supply Chain Management: An International Journal, 19(3), 332-350.</t>
  </si>
  <si>
    <t>Ha-Brookshire, J. E., &amp; Norum, P. S. (2011). Willingness to pay for socially responsible products: case of cotton apparel. Journal of Consumer Marketing, 28(5), 344-353.</t>
  </si>
  <si>
    <t>Michaud, C., &amp; Llerena, D. (2011). Green consumer behaviour: an experimental analysis of willingness to pay for remanufactured products. Business Strategy and the Environment, 20(6), 408-420.</t>
  </si>
  <si>
    <t>Ozaki, R., &amp; Sevastyanova, K. (2011). Going hybrid: An analysis of consumer purchase motivations. Energy Policy, 39(5), 2217-2227.</t>
  </si>
  <si>
    <t>Biswas, A., &amp; Roy, M. (2015). Leveraging factors for sustained green consumption behavior based on consumption value perceptions: testing the structural model. Journal of Cleaner Production, 95, 332-340.</t>
  </si>
  <si>
    <t>Wong, L., &amp; Avery, G. C. (2008). Creating sustainability in organisations: beyond being green. International Journal of Interdisciplinary Social Sciences, 3(2), 68-74.</t>
  </si>
  <si>
    <t>Hang, S., &amp; Chunguang, Z. (2015). Does environmental management improve enterprise's value?–An empirical research based on Chinese listed companies. Ecological Indicators, 51, 191-196.</t>
  </si>
  <si>
    <t>Ceschin, F. (2014). Product-service system innovation: a promising approach to sustainability. In Sustainable Product-Service Systems (pp. 17-40). Springer International Publishing.</t>
  </si>
  <si>
    <t>Soltmann, C., Stucki, T., &amp; Woerter, M. (2015). The Impact of Environmentally Friendly Innovations on Value Added. Environmental and Resource Economics, 62(3), 457-479.</t>
  </si>
  <si>
    <t>Osch, W., &amp; Avital, M. (2010). The road to Sustainable Value: The path-dependent construction of sustainable innovation as sociomaterial practices in the car industry.</t>
  </si>
  <si>
    <t>Beloff, B., &amp; Chevallier, A. (2012). The Case and Practice for Sustainability in Business. In H. Cabezas, U. Diwekar (eds) Sustainability:Multi-Disciplinary Perspectives, pp. 310-339 (30)</t>
  </si>
  <si>
    <t>Papadopoulos, I., Karagouni, G., Trigkas, M., &amp; Beltsiou, Z. (2014). Mainstreaming green product strategies: Why and how furniture companies integrate environmental sustainability?. EuroMed Journal of Business, 9(3), 293-317.</t>
  </si>
  <si>
    <t>Antonova, A. (2012). Service Science, Value Creation, and Sustainable Development: Understanding Service-Based Business. Regional Development: Concepts, Methodologies, Tools, and Applications: Concepts, Methodologies, Tools, and Applications, 108.</t>
  </si>
  <si>
    <t>Rainey, D. L. (2015). A Holistic Model for Linking Sustainability, Sustainable Development, and Strategic Innovation in the Context of Globalization. Handbook of Research on Sustainable Development and Economics, 222.</t>
  </si>
  <si>
    <t>Tollin, K., Christensen, L. B., &amp; Wilke, R. (2015). Sustainability in business from a marketing perspective. Journal of Strategic Marketing, 23(6), 471-496.</t>
  </si>
  <si>
    <t>Ueda, K., Takenaka, T., Váncza, J., &amp; Monostori, L. (2009). Value creation and decision-making in sustainable society. CIRP Annals-Manufacturing Technology, 58(2), 681-700.</t>
  </si>
  <si>
    <t>Bai, C., Sarkis, J., Wei, X., &amp; Koh, L. (2012). Evaluating ecological sustainable performance measures for supply chain management. Supply Chain Management: An International Journal, 17(1), 78-92.</t>
  </si>
  <si>
    <t>Tahir, A. C., &amp; Darton, R. C. (2010). The process analysis method of selecting indicators to quantify the sustainability performance of a business operation. Journal of Cleaner Production, 18(16), 1598-1607.</t>
  </si>
  <si>
    <t>Hamzaoui Essoussi, L., &amp; Linton, J. D. (2010). New or recycled products: how much are consumers willing to pay?. Journal of Consumer Marketing, 27(5), 458-468.</t>
  </si>
  <si>
    <t>Gadenne, D., Mia, L., Sands, J., Winata, L., &amp; Hooi, G. (2012). The influence of sustainability performance management practices on organisational sustainability performance. Journal of Accounting &amp; Organizational Change, 8(2), 210-235.</t>
  </si>
  <si>
    <t>Gotzsch, J. (2008). Key aspects of product attraction: a focus on eco-friendliness. International Journal of Environmental Technology and Management, 8(1), 37-52.</t>
  </si>
  <si>
    <t>Kara, S., Ibbotson, S., &amp; Kayis, B. (2014). Sustainable product development in practice: an international survey. Journal of Manufacturing Technology Management, 25(6), 848-872.</t>
  </si>
  <si>
    <t>Faulkner, W., &amp; Badurdeen, F. (2014). Sustainable Value Stream Mapping (Sus-VSM): methodology to visualize and assess manufacturing sustainability performance. Journal of Cleaner Production, 85, 8-18.</t>
  </si>
  <si>
    <t>Nelms, C. E., Russell, A. D., &amp; Lence, B. J. (2007). Assessing the performance of sustainable technologies: a framework and its application. Building Research &amp; Information, 35(3), 237-251.</t>
  </si>
  <si>
    <t>Gudem, M., Steinert, M., Welo, T., &amp; Leifer, L. (2013). Redefining customer value in lean product development design projects. Journal of Engineering, Design and Technology, 11(1), 71-89.</t>
  </si>
  <si>
    <t>Chou, C. J., Chen, C. W., &amp; Conley, C. (2015). Creating Sustainable Value Through Service Offerings. Research-Technology Management, 58(2), 48-55.</t>
  </si>
  <si>
    <t>Badurdeen, F., &amp; Liyanage, J. P. (2011). Sustainable value co-creation through mass customisation: a framework. International Journal of Sustainable Manufacturing, 2(2-3), 180-203.</t>
  </si>
  <si>
    <t>Badurdeen, F., Shuaib, M. A., Lu, T., &amp; Jawahir, I. S. (2015). Sustainable Value Creation in Manufacturing at Product and Process Levels: Metrics-Based Evaluation. In Handbook of Manufacturing Engineering and Technology (pp. 3343-3375). Springer London.</t>
  </si>
  <si>
    <t>Wang, W., &amp; Tseng, M. M. (2011). Design for sustainable manufacturing: applying modular design methodology to manage product end-of-life strategy. International journal of product lifecycle management, 5(2-4), 164-182.</t>
  </si>
  <si>
    <t>Vinodh, S., &amp; Rathod, G. (2014). Application of life cycle assessment and Monte Carlo simulation for enabling sustainable product design. Journal of Engineering, Design and Technology, 12(3), 307-315.</t>
  </si>
  <si>
    <t>Smith, R. L., &amp; Ruiz-Mercado, G. J. (2014). A method for decision making using sustainability indicators. Clean Technologies and Environmental Policy, 16(4), 749-755.</t>
  </si>
  <si>
    <t>Sakao, T., &amp; Shimomura, Y. (2007). Service Engineering: a novel engineering discipline for producers to increase value combining service and product. Journal of Cleaner Production, 15(6), 590-604.</t>
  </si>
  <si>
    <t>Laszlo, C. (2008). Sustainable value: How the world's leading companies are doing well by doing good. Stanford University Press.</t>
  </si>
  <si>
    <t>Kimita, K., Shimomura, Y., &amp; Arai, T. (2009). A customer value model for sustainable service design. CIRP Journal of Manufacturing Science and Technology, 1(4), 254-261.</t>
  </si>
  <si>
    <t>Abidin, N. Z., &amp; Pasquire, C. L. (2007). Revolutionize value management: A mode towards sustainability. International Journal of Project Management, 25(3), 275-282.</t>
  </si>
  <si>
    <t>Vinodh, S., Arvind, K. R., &amp; Somanaathan, M. (2011). Tools and techniques for enabling sustainability through lean initiatives. Clean Technologies and Environmental Policy, 13(3), 469-479.</t>
  </si>
  <si>
    <t>Jianjun, Y., Baiyang, J., Yifeng, G., Jinxiang, D., &amp; Chenggang, L. (2008). Research on evaluation methodologies of product life cycle engineering design (LCED) and development of its tools. International Journal of Computer Integrated Manufacturing, 21(8), 923-942.</t>
  </si>
  <si>
    <t>Peruzzini, M., &amp; Germani, M. (2014). Design for sustainability of product-service systems. International Journal of Agile Systems and Management 20, 7(3-4), 206-219.</t>
  </si>
  <si>
    <t>Xing, K., Wang, H. F., &amp; Qian, W. (2013). A sustainability-oriented multi-dimensional value assessment model for product-service development. International Journal of Production Research, 51(19), 5908-5933.</t>
  </si>
  <si>
    <t>Lombera, J. T. S. J., &amp; Rojo, J. C. (2010). Industrial building design stage based on a system approach to their environmental sustainability. Construction and Building Materials, 24(4), 438-447.</t>
  </si>
  <si>
    <t>Alarcon, B., Aguado, A., Manga, R., &amp; Josa, A. (2010). A value function for assessing sustainability: application to industrial buildings. Sustainability, 3(1), 35-50.</t>
  </si>
  <si>
    <t>Gervásio, H., &amp; da Silva, L. S. (2012). A probabilistic decision-making approach for the sustainable assessment of infrastructures. Expert Systems with Applications, 39(8), 7121-7131.</t>
  </si>
  <si>
    <t>Peruzzini, M., Marilungo, E., &amp; Germani, M. (2015). Structured requirements elicitation for product-service system. International Journal of Agile Systems and Management, 8(3-4), 189-218.</t>
  </si>
  <si>
    <t>Soota, T. (2014). Integrated approach to multi-criteria decision making for sustainable product development. International Journal for Quality Research, 8(4).</t>
  </si>
  <si>
    <t>Ojanen, V., Ahonen, T., Reunanen, M., &amp; Hanski, J. (2012). Towards availability and sustainability in customer value assessment of asset management services. International Journal of Innovation and Sustainable Development, 6(4), 368-391.</t>
  </si>
  <si>
    <t>del Caño, A., Gómez, D., &amp; de la Cruz, M. P. (2012). Uncertainty analysis in the sustainable design of concrete structures: A probabilistic method. Construction and Building Materials, 37, 865-873.</t>
  </si>
  <si>
    <t>Hassan, M. F., Saman, M. Z. M., Sharif, S., &amp; Omar, B. (2016). Sustainability evaluation of alternative part configurations in product design: weighted decision matrix and artificial neural network approach. Clean Technologies and Environmental Policy, 18(1), 63-79.</t>
  </si>
  <si>
    <t>Hu, J., &amp; Cardin, M. A. (2015). Generating flexibility in the design of engineering systems to enable better sustainability and lifecycle performance. Research in Engineering Design, 26(2), 121-143.</t>
  </si>
  <si>
    <t>Gheorghe, R., &amp; Xirouchakis, P. (2007). Decision-based methods for early phase sustainable product design. International Journal of Engineering Education, 23(6), 1065-1080.</t>
  </si>
  <si>
    <t>Henry, M., &amp; Kato, Y. (2011). An assessment framework based on social perspectives and Analytic Hierarchy Process: A case study on sustainability in the Japanese concrete industry. Journal of Engineering and Technology Management, 28(4), 300-316.</t>
  </si>
  <si>
    <t>Inoue, M., Yamada, S., Yamada, T., &amp; Bracke, S. (2014). An Upgradable Product Design Method for Improving Performance, CO2 Savings, and Production Cost Reduction: Vacuum Cleaner Case Study. International Journal of Supply Chain Management, 3(4).</t>
  </si>
  <si>
    <t>Vinodh, S., &amp; Jayakrishna, K. (2011). Environmental impact minimisation in an automotive component using alternative materials and manufacturing processes. Materials &amp; Design, 32(10), 5082-5090.</t>
  </si>
  <si>
    <t>Mayyas, A. T., Qattawi, A., Mayyas, A. R., &amp; Omar, M. (2013). Quantifiable measures of sustainability: a case study of materials selection for eco-lightweight auto-bodies. Journal of Cleaner Production, 40, 177-189.</t>
  </si>
  <si>
    <t>Bayat, A., Sundararajan, S., Gustafson Jr, H. R., &amp; Zimmers Jr, E. W. (2011). Sustainably driven supply chains. Industrial Engineer, 43(8), 26-31.</t>
  </si>
  <si>
    <t>Akadiri, P. O., &amp; Olomolaiye, P. O. (2012). Development of sustainable assessment criteria for building materials selection. Engineering, Construction and Architectural Management, 19(6), 666-687.</t>
  </si>
  <si>
    <t>Tambouratzis, T., Karalekas, D., &amp; Moustakas, N. (2014). A methodological study for optimizing material selection in sustainable product design. Journal of Industrial Ecology, 18(4), 508-516.</t>
  </si>
  <si>
    <t>Mendoza, G. A., &amp; Prabhu, R. (2009). Evaluating multi-stakeholder perceptions of project impacts: a participatory value-based multi-criteria approach. International Journal of Sustainable Development &amp; World Ecology, 16(3), 177-190.</t>
  </si>
  <si>
    <t>Russell-Smith, S. V., Lepech, M. D., Fruchter, R., &amp; Meyer, Y. B. (2015). Sustainable target value design: integrating life cycle assessment and target value design to improve building energy and environmental performance. Journal of Cleaner Production, 88, 43-51.</t>
  </si>
  <si>
    <t>Zhang, X., Wu, Y., Shen, L., &amp; Skitmore, M. (2014). A prototype system dynamic model for assessing the sustainability of construction projects. International Journal of Project Management, 32(1), 66-76.</t>
  </si>
  <si>
    <t>Jensen, P. A., &amp; Maslesa, E. (2015). Value based building renovation–A tool for decision-making and evaluation. Building and Environment, 92, 1-9.</t>
  </si>
  <si>
    <t>Sproedt, A., Plehn, J., Schönsleben, P., &amp; Herrmann, C. (2015). A simulation-based decision support for eco-efficiency improvements in production systems. Journal of Cleaner Production, 105, 389-405.</t>
  </si>
  <si>
    <t>Bakhoum, E. S., &amp; Brown, D. C. (2015). An automated decision support system for sustainable selection of structural materials. International Journal of Sustainable Engineering, 8(2), 80-92.</t>
  </si>
  <si>
    <t>Brown, A., Amundson, J., &amp; Badurdeen, F. (2014). Sustainable value stream mapping (Sus-VSM) in different manufacturing system configurations: application case studies. Journal of Cleaner Production, 85, 164-179.</t>
  </si>
  <si>
    <t>Djassemi, M. (2012). A computer-aided approach to material selection and environmental auditing. Journal of Manufacturing Technology Management, 23(6), 704-716.</t>
  </si>
  <si>
    <t>Le Bourhis, F., Kerbrat, O., Hascoët, J. Y., &amp; Mognol, P. (2013). Sustainable manufacturing: evaluation and modeling of environmental impacts in additive manufacturing. The International Journal of Advanced Manufacturing Technology, 69(9-12), 1927-1939.</t>
  </si>
  <si>
    <t>Olinto, A. C. (2014). Vector space theory of sustainability assessment of industrial processes. Clean Technologies and Environmental Policy, 16(8), 1815-1820.</t>
  </si>
  <si>
    <t>Liyanage, J.P. 2007, "Operations and maintenance performance in production and manufacturing assets: The sustainability perspective", Journal of Manufacturing Technology Management, vol. 18, no. 3, pp. 304-314.</t>
  </si>
  <si>
    <t>Systematic literature review</t>
  </si>
  <si>
    <t>Brent, A. C., &amp; Labuschagne, C. (2007). An appraisal of social aspects in project and technology life cycle management in the process industry. Management of Environmental Quality: An International Journal, 18(4), 413-426.</t>
  </si>
  <si>
    <t>Batalha, G. F., Roszak, M. T., da Silva, I. B., Agostinho, O. L., &amp; Dobrzański, L. A. (2013). Towards a design for ecological management and product sustainability–European and Brazilian approaches. Materials Science and Engineering, 64(1), 34-39.</t>
  </si>
  <si>
    <t>Chiarini, A. (2012). Designing an environmental sustainable supply chain through ISO 14001 standard. Management of Environmental Quality: An International Journal, 24(1), 16-33.</t>
  </si>
  <si>
    <t>Orji, I. J., &amp; Wei, S. (2015). Dynamic modeling of sustainable operation in green manufacturing environment. Journal of Manufacturing Technology Management, 26(8), 1201-1217.</t>
  </si>
  <si>
    <t>Orji, I., &amp; Wei, S. (2014). A decision support tool for sustainable supplier selection in manufacturing firms. Journal of Industrial Engineering and Management, 7(5), 1293.</t>
  </si>
  <si>
    <t>Brockhaus, S., Fawcett, S., Kersten, W., &amp; Knemeyer, M. (2016). A framework for benchmarking product sustainability efforts: Using systems dynamics to achieve supply chain alignment. Benchmarking: An International Journal, 23(1), 127-164.</t>
  </si>
  <si>
    <t>Afful-Dadzie, A., Afful-Dadzie, E., &amp; Turkson, C. (2016). A TOPSIS extension framework for re-conceptualizing sustainability measurement. Kybernetes, 45(1), 70-86.</t>
  </si>
  <si>
    <t>Aguado, S., Alvarez, R., &amp; Domingo, R. (2013). Model of efficient and sustainable improvements in a lean production system through processes of environmental innovation. Journal of Cleaner Production, 47, 141-148.</t>
  </si>
  <si>
    <t>Catarino, J., Henriques, J. J., Maia, A., Alexandre, J., Rodrigues, F., &amp; Camocho, D. (2011). From cleaner production and value management to sustainable value. International Journal of Sustainable Engineering, 4(02), 96-108.</t>
  </si>
  <si>
    <t>Kassahun, A., du Chatenier, E., Bots, P., Hofstede, G., Bloemhof, J., Scholten, H., Korver S. &amp; Beulens, A. (2011). QChain–integrating social, environmental and economic value: a tool to support innovation in production chains. Journal on Chain and Network Science, 11(2), 167-176.</t>
  </si>
  <si>
    <t>Green Jr, K. W., Zelbst, P. J., Bhadauria, V. S., &amp; Meacham, J. (2012). Do environmental collaboration and monitoring enhance organizational performance?. Industrial Management &amp; Data Systems, 112(2), 186-205.</t>
  </si>
  <si>
    <t>Badurdeen, F., Goldsby, T. J., Iyengar, D., &amp; Jawahir, I. S. (2013). Transforming supply chains to create sustainable value for all stakeholders. In Treatise on Sustainability Science and Engineering (pp. 311-338). Springer Netherlands.</t>
  </si>
  <si>
    <t>Whalen, K., &amp; Peck, D. (2014). In the Loop: Sustainable, Circular Product Design and Critical Materials (Special Issue on Design and Manufacturing for Environmental Sustainability). International journal of automation technology, 8(5), 664-676.</t>
  </si>
  <si>
    <t>Goucher-Lambert, K., &amp; Cagan, J. (2015). The Impact of Sustainability on Consumer Preference Judgments of Product Attributes. Journal of Mechanical Design, 137(8), 081401.</t>
  </si>
  <si>
    <t>Wever, R., &amp; Vogtländer, J. (2015). Design for the Value of Sustainability Sustainability. Handbook of Ethics, Values, and Technological Design: Sources, Theory, Values and Application Domains, 513-549.</t>
  </si>
  <si>
    <t>Arroyo, P., Tommelein, I. D., &amp; Ballard, G. (2015). Selecting Globally Sustainable Materials: A Case Study Using Choosing by Advantages. Journal of Construction Engineering and Management, 05015015.</t>
  </si>
  <si>
    <t>Müller, M. (2012). Design-driven innovation for sustainability: a new method for developing a sustainable value proposition. International Journal of Innovation Science, 4(1), 11-24.</t>
  </si>
  <si>
    <t>Varsei, M., Soosay, C., Fahimnia, B., &amp; Sarkis, J. (2014). Framing sustainability performance of supply chains with multidimensional indicators. Supply Chain Management: An International Journal, 19(3), 242-257.</t>
  </si>
  <si>
    <t>El Saadany, A. M. A., Jaber, M. Y., &amp; Bonney, M. (2011). Environmental performance measures for supply chains. Management Research Review, 34(11), 1202-1221.</t>
  </si>
  <si>
    <t>Boonsothonsatit, K., Kara, S., Ibbotson, S., &amp; Kayis, B. (2015). Development of a Generic decision support system based on multi-Objective Optimisation for Green supply chain network design (GOOG). Journal of Manufacturing Technology Management, 26(7), 1069-1084.</t>
  </si>
  <si>
    <t>Florez, L., Castro, D., &amp; Irizarry, J. (2013). Measuring sustainability perceptions of construction materials. Construction Innovation, 13(2), 217-234.</t>
  </si>
  <si>
    <t>Petros Sebhatu, S., &amp; Enquist, B. (2007). ISO 14001 as a driving force for sustainable development and value creation. The TQM Magazine, 19(5), 468-482.</t>
  </si>
  <si>
    <t>Laszlo, C., &amp; Cooperrider, D. L. (2008). Design for sustainable value: A whole system approach. Advances in appreciative inquiry, 2, 15-29.</t>
  </si>
  <si>
    <t>Metalevel</t>
  </si>
  <si>
    <t>Customer perception</t>
  </si>
  <si>
    <t>Sust. Framework</t>
  </si>
  <si>
    <t>Value creation areas</t>
  </si>
  <si>
    <t>Areas of Interventions</t>
  </si>
  <si>
    <t>Business transformation</t>
  </si>
  <si>
    <t>KPI measurement</t>
  </si>
  <si>
    <t>Sustainability score</t>
  </si>
  <si>
    <t>BM selection</t>
  </si>
  <si>
    <t>Supply chain challen.</t>
  </si>
  <si>
    <t>Supply chain KPI</t>
  </si>
  <si>
    <t>Manufacturing KPI</t>
  </si>
  <si>
    <t>Project KPI</t>
  </si>
  <si>
    <t>Qualitative models</t>
  </si>
  <si>
    <t>Functions value/utility</t>
  </si>
  <si>
    <t>DM Drivers</t>
  </si>
  <si>
    <t>Carter and Easton (2011)</t>
  </si>
  <si>
    <t>Sakao and Shimomura (2007)</t>
  </si>
  <si>
    <t>Ashby et al. (2012)</t>
  </si>
  <si>
    <t xml:space="preserve">Moore and Manring (2009) </t>
  </si>
  <si>
    <t>Bocken et al. (2014)</t>
  </si>
  <si>
    <t>Ueda et al. (2009)</t>
  </si>
  <si>
    <t>Dahl (2012)</t>
  </si>
  <si>
    <t>Gimenez and Tachizawa (2012)</t>
  </si>
  <si>
    <t>Bai et al. (2012)</t>
  </si>
  <si>
    <t>Kuosmanen and Kuosmanen (2009)</t>
  </si>
  <si>
    <t>Abbasi and Nilsson (2012)</t>
  </si>
  <si>
    <t xml:space="preserve">Tahir and Darton (2010) </t>
  </si>
  <si>
    <t>Citations (Google Scholar)</t>
  </si>
  <si>
    <t>Schaltegger et al. (2012)</t>
  </si>
  <si>
    <t>Pearce, O. J., Murray, N. J., &amp; Boyd, T. W. (2012, June). Halstar: systems engineering for sustainable development. In Proceedings of the Institution of Civil Engineers-Engineering Sustainability (Vol. 165, No. 2, pp. 129-140). Thomas Telford Ltd.</t>
  </si>
  <si>
    <t>Ozaki and Sevastyanova (2011)</t>
  </si>
  <si>
    <t xml:space="preserve">De Vries and Petersen (2009) </t>
  </si>
  <si>
    <t>Hamzaoui Essoussi and Linton (2010)</t>
  </si>
  <si>
    <t>Michaud and Llerena (2011)</t>
  </si>
  <si>
    <t>Ha-Brookshire and Norum (2011)</t>
  </si>
  <si>
    <t>El Saadany et al. (2011)</t>
  </si>
  <si>
    <t>Nelms et al. (2007)</t>
  </si>
  <si>
    <t>Kimita et al.(2009)</t>
  </si>
  <si>
    <t>Varsei et al. (2014)</t>
  </si>
  <si>
    <t>Petros Sebhatu and Enquist (2007)</t>
  </si>
  <si>
    <t>Coskun et al. (2016)</t>
  </si>
  <si>
    <t>Bolis et al. (2014)</t>
  </si>
  <si>
    <t>Zhang et al. (2014)</t>
  </si>
  <si>
    <t>Aguado et al. (2013)</t>
  </si>
  <si>
    <t>Commodities and consumer products</t>
  </si>
  <si>
    <t>Building and transportation</t>
  </si>
  <si>
    <t>Agriculture and mining</t>
  </si>
  <si>
    <t>Generic/Undefined</t>
  </si>
  <si>
    <t>Company</t>
  </si>
  <si>
    <t>Processes and assets</t>
  </si>
  <si>
    <t>Products</t>
  </si>
  <si>
    <t>Services and PSS</t>
  </si>
  <si>
    <t>Projects</t>
  </si>
  <si>
    <t>Entiity studied</t>
  </si>
  <si>
    <r>
      <t>Martínez</t>
    </r>
    <r>
      <rPr>
        <sz val="12"/>
        <color indexed="8"/>
        <rFont val="Operating instructions"/>
      </rPr>
      <t>‐</t>
    </r>
    <r>
      <rPr>
        <sz val="12"/>
        <color indexed="8"/>
        <rFont val="Arial Narrow"/>
      </rPr>
      <t>Ferrero, J., &amp; Frías</t>
    </r>
    <r>
      <rPr>
        <sz val="12"/>
        <color indexed="8"/>
        <rFont val="Operating instructions"/>
      </rPr>
      <t>‐</t>
    </r>
    <r>
      <rPr>
        <sz val="12"/>
        <color indexed="8"/>
        <rFont val="Arial Narrow"/>
      </rPr>
      <t>Aceituno, J. V. (2015). Relationship between sustainable development and financial performance: international empirical research. Business Strategy and the Environment, 24(1), 20-39.</t>
    </r>
  </si>
  <si>
    <t>Brown et al. (2014)</t>
  </si>
  <si>
    <t>Wong et al. (2015)</t>
  </si>
  <si>
    <r>
      <t>Mondelaers, K., Van Huylenbroeck, G., &amp; Lauwers, L. (2011). Sustainable Value Analysis: Sustainability in a New Light Results of the EU SVAPPAS Project Analyse de la valeur durable: Le projet SVAPPAS de l’Union européenne éclaire la durabilité sous un jour nouveau Sustainable</t>
    </r>
    <r>
      <rPr>
        <sz val="12"/>
        <color indexed="8"/>
        <rFont val="Operating instructions"/>
      </rPr>
      <t>‐</t>
    </r>
    <r>
      <rPr>
        <sz val="12"/>
        <color indexed="8"/>
        <rFont val="Arial Narrow"/>
      </rPr>
      <t>Value</t>
    </r>
    <r>
      <rPr>
        <sz val="12"/>
        <color indexed="8"/>
        <rFont val="Operating instructions"/>
      </rPr>
      <t>‐</t>
    </r>
    <r>
      <rPr>
        <sz val="12"/>
        <color indexed="8"/>
        <rFont val="Arial Narrow"/>
      </rPr>
      <t>Analyse: Nachhaltigkeit in einem neuen Licht als Ergebnis des SVAPPAS</t>
    </r>
    <r>
      <rPr>
        <sz val="12"/>
        <color indexed="8"/>
        <rFont val="Operating instructions"/>
      </rPr>
      <t>‐</t>
    </r>
    <r>
      <rPr>
        <sz val="12"/>
        <color indexed="8"/>
        <rFont val="Arial Narrow"/>
      </rPr>
      <t>Projekts der EU. EuroChoices, 10(2), 9-15.</t>
    </r>
  </si>
  <si>
    <t>Akadiri and Olomolaiye (2012)</t>
  </si>
  <si>
    <t>Alarcon et al. (2010)</t>
  </si>
  <si>
    <t>Sproedt et al. (2015)</t>
  </si>
  <si>
    <t>Biswas and Roy (2015)</t>
  </si>
  <si>
    <t>Raska and Shaw (2012)</t>
  </si>
  <si>
    <t>Tsai et al. (2012)</t>
  </si>
  <si>
    <t>Faulkner and Badurdeen (2014)</t>
  </si>
  <si>
    <t>Le Bourhis et al. (2013)</t>
  </si>
  <si>
    <t>Jayakrishna, K., Vimal, K.E.K,  Vinodh S., (2015),"ANP based sustainable concept selection", Journal of Modelling in Management, Vol. 10 Iss 1 pp. 118 - 136</t>
  </si>
  <si>
    <t>Vinodh et al. (2011)</t>
  </si>
  <si>
    <t>Green et al. (2012)</t>
  </si>
  <si>
    <t>Lindsey (2011)</t>
  </si>
  <si>
    <t>Laszlo (2008)</t>
  </si>
  <si>
    <t>Lombera and Rojo (2010)</t>
  </si>
  <si>
    <t>Abidin and Pasquire (2007)</t>
  </si>
  <si>
    <t>Joyce, A., Paquin, R.L.,"The triple layered business model canvas: A tool to design more sustainable business models",2016,"Journal of Cleaner Production",135,,,1474,1486,,,10.1016/j.jclepro.2016.06.067,"https://www.scopus.com/inward/record.url?eid=2-s2.0-84977503586&amp;partnerID=40&amp;md5=f77b1cd00de918ca929db81b2c9d06d2",Article,Scopus,2-s2.0-84977503586</t>
  </si>
  <si>
    <t>Hansen, E.G., Schaltegger, S.,"The Sustainability Balanced Scorecard: A Systematic Review of Architectures",2016,"Journal of Business Ethics",133,2,,193,221,,4,10.1007/s10551-014-2340-3,"https://www.scopus.com/inward/record.url?eid=2-s2.0-84957587933&amp;partnerID=40&amp;md5=165b97ffb629a8c3d8f8fce7607b62f5",Article,Scopus,2-s2.0-84957587933</t>
  </si>
  <si>
    <t>Ecological Indicators</t>
  </si>
  <si>
    <t>Civil Engineering and Environmental Systems</t>
  </si>
  <si>
    <t>Business Ethics</t>
  </si>
  <si>
    <t>Journal of Business Ethics</t>
  </si>
  <si>
    <t>Service Business</t>
  </si>
  <si>
    <t>Review of Marketing Research</t>
  </si>
  <si>
    <t>Handbook of Research on Global Supply Chain Management</t>
  </si>
  <si>
    <t>International Journal of Engineering Research in Africa</t>
  </si>
  <si>
    <t xml:space="preserve">Corporate Governance </t>
  </si>
  <si>
    <t>Industrial Marketing Management</t>
  </si>
  <si>
    <t>International Journal of Information Technology and Decision Making</t>
  </si>
  <si>
    <t>Accounting Research Journal</t>
  </si>
  <si>
    <t>Applied Soft Computing Journal</t>
  </si>
  <si>
    <t>Automotive and machineries</t>
  </si>
  <si>
    <t>Distribution of publication per year</t>
  </si>
  <si>
    <t>Simulation/Optimization</t>
  </si>
  <si>
    <t>Broman, and Robèrt (2017)</t>
  </si>
  <si>
    <t>Hansen and Schaltegger (2016)</t>
  </si>
  <si>
    <t>Joyce and Paquin (2016)</t>
  </si>
  <si>
    <t>Re</t>
  </si>
  <si>
    <t>Topic</t>
  </si>
  <si>
    <t>Level</t>
  </si>
  <si>
    <t>Cost-based models</t>
  </si>
  <si>
    <t>Wong, C. Y., Wong, C. W., &amp; Boon-itt, S. (2015). Integrating environmental management into supply chains: a systematic literature review and theoretical framework. International Journal of Physical Distribution &amp; Logistics Management, 45(1/2), 43-68.</t>
  </si>
  <si>
    <t>Mukherjee, A., Kamarulzaman, N. H., Vijayan, G., &amp; Vaiappuri, S. K. (2015). Sustainability: A Comprehensive Literature. Handbook of Research on Global Supply Chain Management, 248.</t>
  </si>
  <si>
    <t>Martin, D. M., &amp; Väistö, T. (2016). Reducing the Attitude-Behavior Gap in Sustainable Consumption: A Theoretical Proposition and the American Electric Vehicle Market. In Marketing in and for a Sustainable Society (pp. 193-213). Emerald Group Publishing Limited, Chicago</t>
  </si>
  <si>
    <t>Govindan, K., Paam, P., &amp; Abtahi, A. R. (2016). A fuzzy multi-objective optimization model for sustainable reverse logistics network design. Ecological Indicators, 67, 753-768.</t>
  </si>
  <si>
    <t>Cuadrado, J., Zubizarreta, M., Rojí, E., Larrauri, M., &amp; Álvarez, I. (2016). Sustainability assessment methodology for industrial buildings: three case studies. Civil engineering and environmental systems, 33(2), 106-124.</t>
  </si>
  <si>
    <t>Suresh, P., Ramabalan, S., &amp; Natarajan, U. (2016). Integration of DFE and DFMA for the sustainable development of an automotive component. International Journal of Sustainable Engineering, 9(2), 107-118.</t>
  </si>
  <si>
    <t>Jayakrishna, K., Vinodh, S., &amp; Anish, S. (2016). A Graph Theory approach to measure the performance of sustainability enablers in a manufacturing organization. International Journal of Sustainable Engineering, 9(1), 47-58.</t>
  </si>
  <si>
    <t>Ma, J., &amp; Kremer, G. E. O. (2016). A sustainable modular product design approach with key components and uncertain end-of-life strategy consideration. The International Journal of Advanced Manufacturing Technology, 85(1-4), 741-763.</t>
  </si>
  <si>
    <t>Jayakrishna, K., Jayakrishna, K., Girubha, R. J., Girubha, R. J., Vinodh, S., &amp; Vinodh, S. (2016). Comparison of sustainability characteristics of conventional and CNC turning processes: A case study. Journal of Engineering, Design and Technology, 14(3), 422-445.</t>
  </si>
  <si>
    <t>Malmgren, L., Elfborg, S., &amp; Mjörnell, K. (2016). Development of a decision support tool for sustainable renovation–a case study. Structural Survey, 34(1), 3-11.</t>
  </si>
  <si>
    <t>Kim, S., Cho, Y., Niki, K., &amp; Yamanaka, T. (2016). Integrating affective values to sustainable behaviour focused on Kansei engineering. International Journal of Sustainable Engineering, 9(6), 378-389.</t>
  </si>
  <si>
    <t>Ford, S., &amp; Despeisse, M. (2016). Additive manufacturing and sustainability: an exploratory study of the advantages and challenges. Journal of Cleaner Production, 137, 1573-1587.</t>
  </si>
  <si>
    <t>Nallusamy, S., Ganesan, M., Balakannan, K., &amp; Shankar, C. (2016). Environmental sustainability evaluation for an automobile manufacturing industry using multi-grade fuzzy approach. In International Journal of Engineering Research in Africa (Vol. 19, pp. 123-129). Trans Tech Publications.</t>
  </si>
  <si>
    <t>Morioka, S. N., &amp; de Carvalho, M. M. (2016). A systematic literature review towards a conceptual framework for integrating sustainability performance into business. Journal of Cleaner Production, 136, 134-146.</t>
  </si>
  <si>
    <t>Padin, C., Padin, C., Ferro, C., Ferro, C., Wagner, B., Wagner, B., ... &amp; Svensson, G. (2016). Validating a triple bottom line construct and reasons for implementing sustainable business practices in companies and their business networks. Corporate Governance: The International Journal of Business in Society, 16(5), 849-865.</t>
  </si>
  <si>
    <t>Morioka, S. N., &amp; Carvalho, M. M. (2016). Measuring sustainability in practice: exploring the inclusion of sustainability into corporate performance systems in Brazilian case studies. Journal of Cleaner Production, 136, 123-133.</t>
  </si>
  <si>
    <t>Singh, S., Olugu, E. U., Musa, S. N., Mahat, A. B., &amp; Wong, K. Y. (2016). Strategy selection for sustainable manufacturing with integrated AHP-VIKOR method under interval-valued fuzzy environment. The International Journal of Advanced Manufacturing Technology, 84(1-4), 547-563.</t>
  </si>
  <si>
    <t>Geissdoerfer, M., Bocken, N. M., &amp; Hultink, E. J. (2016). Design thinking to enhance the sustainable business modelling process–A workshop based on a value mapping process. Journal of Cleaner Production, 135, 1218-1232.</t>
  </si>
  <si>
    <t>Patala, S., Jalkala, A., Keränen, J., Väisänen, S., Tuominen, V., &amp; Soukka, R. (2016). Sustainable value propositions: Framework and implications for technology suppliers. Industrial Marketing Management, 59, 144-156.</t>
  </si>
  <si>
    <t>Kim, K. J., Lim, C. H., Heo, J. Y., Lee, D. H., Hong, Y. S., &amp; Park, K. (2016). An evaluation scheme for product–service system models: development of evaluation criteria and case studies. Service Business, 10(3), 507-530.</t>
  </si>
  <si>
    <t>Journeault, M. (2016). The Integrated Scorecard in support of corporate sustainability strategies. Journal of environmental management, 182, 214-229.</t>
  </si>
  <si>
    <t>Sands, J. S., Sands, J. S., Rae, K. N., Rae, K. N., Gadenne, D., &amp; Gadenne, D. (2016). An empirical investigation on the links within a sustainability balanced scorecard (SBSC) framework and their impact on financial performance. Accounting Research Journal, 29(2), 154-178.</t>
  </si>
  <si>
    <t>Metaxas, I. N., Koulouriotis, D. E., &amp; Spartalis, S. H. (2016). A multicriteria model on calculating the Sustainable Business Excellence Index of a firm with fuzzy AHP and TOPSIS. Benchmarking: An International Journal, 23(6), 1522-1557.</t>
  </si>
  <si>
    <t>Hsu, C. C., Tan, K. C., &amp; Mohamad Zailani, S. H. (2016). Strategic orientations, sustainable supply chain initiatives, and reverse logistics: empirical evidence from an emerging market. International Journal of Operations &amp; Production Management, 36(1), 86-110.</t>
  </si>
  <si>
    <t>Kumar, D., &amp; Rahman, Z. (2016). Buyer supplier relationship and supply chain sustainability: empirical study of Indian automobile industry. Journal of Cleaner Production, 131, 836-848.</t>
  </si>
  <si>
    <t>Wu, K. J., Liao, C. J., Tseng, M., &amp; Chiu, K. K. S. (2016). Multi-attribute approach to sustainable supply chain management under uncertainty. Industrial Management &amp; Data Systems, 116(4), 777-800.</t>
  </si>
  <si>
    <t>Bilge, P., Badurdeen, F., Seliger, G., &amp; Jawahir, I. S. (2016). A novel manufacturing architecture for sustainable value creation. CIRP Annals-Manufacturing Technology, 65(1), 455-458.</t>
  </si>
  <si>
    <t>Winroth, M., Almström, P., Andersson, C. (2016). Sustainable production indicators at factory level. Journal of Manufacturing Technology Management, 27(6), 842-873.</t>
  </si>
  <si>
    <t>Ferreira, L. M. D., Silva, C., &amp; Azevedo, S. G. (2016). An environmental balanced scorecard for supply chain performance measurement (Env_BSC_4_SCPM). Benchmarking: An International Journal, 23(6), 1398-1422.</t>
  </si>
  <si>
    <t>Zhou, X., Pedrycz, W., Kuang, Y., &amp; Zhang, Z. (2016). Type-2 fuzzy multi-objective DEA model: An application to sustainable supplier evaluation. Applied Soft Computing, 46, 424-440.</t>
  </si>
  <si>
    <t>de Medeiros, J. F., &amp; Ribeiro, J. L. D. (2017). Environmentally sustainable innovation: Expected attributes in the purchase of green products. Journal of Cleaner Production, 142, 240-248.</t>
  </si>
  <si>
    <t>Li, D., Zheng, M., Cao, C., Chen, X., Ren, S., &amp; Huang, M. (2017). The impact of legitimacy pressure and corporate profitability on green innovation: Evidence from China top 100. Journal of Cleaner Production, 141, 41-49.</t>
  </si>
  <si>
    <t>Song, W., &amp; Sakao, T. (2017). A customization-oriented framework for design of sustainable product/service system. Journal of Cleaner Production, 140, 1672-1685.</t>
  </si>
  <si>
    <t>Broman, G. I., &amp; Robèrt, K. H. (2017). A framework for strategic sustainable development. Journal of Cleaner Production, 140, 17-31.</t>
  </si>
  <si>
    <t xml:space="preserve">Kim, S., &amp; Moon, S. K. (2016). Sustainable platform identification for product family design. Journal of Cleaner Production, 143, 567-581. </t>
  </si>
  <si>
    <t>França, C. L., Broman, G., Robèrt, K. H., Basile, G., &amp; Trygg, L. (2017). An approach to business model innovation and design for strategic sustainable development. Journal of Cleaner Production, 140, 155-166.</t>
  </si>
  <si>
    <t>Severo, E. A., de Guimarães, J. C. F., &amp; Dorion, E. C. H. (2017). Cleaner production and environmental management as sustainable product innovation antecedents: A survey in Brazilian industries. Journal of Cleaner Production, 142, 87-97.</t>
  </si>
  <si>
    <t>Yang, M., Evans, S., Vladimirova, D., &amp; Rana, P. (2017). Value uncaptured perspective for sustainable business model innovation. Journal of Cleaner Production, 140, 1794-1804.</t>
  </si>
  <si>
    <r>
      <t>Gómez</t>
    </r>
    <r>
      <rPr>
        <sz val="12"/>
        <rFont val="Monaco"/>
      </rPr>
      <t>‐</t>
    </r>
    <r>
      <rPr>
        <sz val="12"/>
        <rFont val="Arial Narrow"/>
      </rPr>
      <t>Bezares, F., Przychodzen, W., &amp; Przychodzen, J. (2017). Bridging the gap: How sustainable development can help companies create shareholder value and improve financial performance. Business Ethics: A European Review, 26(1), 1-17.</t>
    </r>
  </si>
  <si>
    <t>Xia, D., Yu, Q., Gao, Q., &amp; Cheng, G. (2017). Sustainable technology selection decision-making model for enterprise in supply chain: Based on a modified strategic balanced scorecard. Journal of Cleaner Production, 141, 1337-1348.</t>
  </si>
  <si>
    <t>Rao, C., Goh, M., &amp; Zheng, J. (2016). Decision Mechanism for Supplier Selection Under Sustainability. International Journal of Information Technology &amp; Decision Making, 1-29.</t>
  </si>
  <si>
    <t>2017 (jan)</t>
  </si>
  <si>
    <t>Company focus</t>
  </si>
  <si>
    <t>Project focus</t>
  </si>
  <si>
    <t>Process/asset focus</t>
  </si>
  <si>
    <t>Service/PSS focus</t>
  </si>
  <si>
    <t>Product focus</t>
  </si>
  <si>
    <t>Material focus</t>
  </si>
  <si>
    <t>Commodities/consumer products</t>
  </si>
  <si>
    <t>Total citations at Metalevel</t>
  </si>
  <si>
    <t>Citations/year at Metalevel</t>
  </si>
  <si>
    <t>Total citations at Tactical level</t>
  </si>
  <si>
    <t>Total citations at Strategic level</t>
  </si>
  <si>
    <t>Total citations at Operational level</t>
  </si>
  <si>
    <t>Citations/year at Strategic level</t>
  </si>
  <si>
    <t>Citations/year at Tactical level</t>
  </si>
  <si>
    <t>Citations/year at Operational level</t>
  </si>
  <si>
    <t>Boons and Lüdeke-Freund (2013)</t>
  </si>
  <si>
    <t>Russell-Smith et al. (2015)</t>
  </si>
  <si>
    <t>Other journal</t>
  </si>
  <si>
    <t>International Journal of Advanced Manufacturing Technology (3)</t>
  </si>
  <si>
    <t>Benchmarking (3)</t>
  </si>
  <si>
    <t>Journal of Engineering, Design and Technology (3)</t>
  </si>
  <si>
    <t>Journal of Cleaner Production (34)</t>
  </si>
  <si>
    <t>Journal of Manufacturing Technology Management (7)</t>
  </si>
  <si>
    <t>Supply Chain Management (7)</t>
  </si>
  <si>
    <t>International Journal of Sustainable Engineering (6)</t>
  </si>
  <si>
    <t>Clean Technologies and Environmental Policy (5)</t>
  </si>
  <si>
    <t>Business Strategy and the Environment (5)</t>
  </si>
  <si>
    <t>Ecological indicators (4)</t>
  </si>
  <si>
    <t>Bocken, N. M. P., Rana, P., &amp; Short, S. W. (2015). Vkumaring. Journal of Industrial and Production Engineering, 32(1), 67-81.</t>
  </si>
  <si>
    <t>List of full text filtered papers</t>
  </si>
  <si>
    <t>Statistics: Journal distribution (full text based)</t>
  </si>
  <si>
    <t>TOTAL JOURNALS</t>
  </si>
  <si>
    <t>TOTAL PAPERS</t>
  </si>
  <si>
    <t>TOP 10 JOURNALS</t>
  </si>
  <si>
    <t>Distribution of contributions per industrial sector and per year.</t>
  </si>
  <si>
    <t>Distribution of contributions per entity studied and per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</si>
</sst>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2"/>
      <color theme="1"/>
      <name val="Calibri"/>
      <family val="2"/>
      <scheme val="minor"/>
    </font>
    <font>
      <sz val="12"/>
      <color indexed="8"/>
      <name val="Arial Narrow"/>
    </font>
    <font>
      <b/>
      <sz val="10"/>
      <name val="Arial Narrow"/>
    </font>
    <font>
      <sz val="12"/>
      <name val="Arial Narrow"/>
    </font>
    <font>
      <b/>
      <sz val="22"/>
      <name val="Arial Narrow"/>
    </font>
    <font>
      <sz val="12"/>
      <color indexed="8"/>
      <name val="Operating instructions"/>
    </font>
    <font>
      <sz val="10"/>
      <name val="Arial Narrow"/>
    </font>
    <font>
      <b/>
      <sz val="12"/>
      <color theme="1"/>
      <name val="Calibri"/>
      <family val="2"/>
      <scheme val="minor"/>
    </font>
    <font>
      <sz val="12"/>
      <color theme="1"/>
      <name val="Arial Narrow"/>
    </font>
    <font>
      <b/>
      <sz val="10"/>
      <color rgb="FFFFFFFF"/>
      <name val="Arial Narrow"/>
    </font>
    <font>
      <sz val="10"/>
      <color theme="1"/>
      <name val="Arial Narrow"/>
    </font>
    <font>
      <b/>
      <sz val="14"/>
      <color theme="1"/>
      <name val="Arial Narrow"/>
    </font>
    <font>
      <b/>
      <sz val="10"/>
      <color theme="0"/>
      <name val="Arial Narrow"/>
    </font>
    <font>
      <b/>
      <sz val="12"/>
      <color rgb="FFFFFFFF"/>
      <name val="Arial Narrow"/>
    </font>
    <font>
      <sz val="12"/>
      <color theme="0"/>
      <name val="Arial Narrow"/>
    </font>
    <font>
      <i/>
      <sz val="25"/>
      <color rgb="FF0000FF"/>
      <name val="Arial Narrow"/>
    </font>
    <font>
      <b/>
      <sz val="24"/>
      <color theme="1"/>
      <name val="Arial Narrow"/>
    </font>
    <font>
      <sz val="10"/>
      <color theme="1"/>
      <name val="Calibri"/>
      <scheme val="minor"/>
    </font>
    <font>
      <b/>
      <sz val="10"/>
      <color theme="1"/>
      <name val="Arial Narrow"/>
    </font>
    <font>
      <b/>
      <sz val="11"/>
      <color rgb="FFFFFFFF"/>
      <name val="Arial Narrow"/>
    </font>
    <font>
      <b/>
      <sz val="9"/>
      <color rgb="FFFFFFFF"/>
      <name val="Arial Narrow"/>
    </font>
    <font>
      <i/>
      <sz val="14"/>
      <color rgb="FF0000FF"/>
      <name val="Arial Narrow"/>
    </font>
    <font>
      <b/>
      <sz val="12"/>
      <color theme="1"/>
      <name val="Arial Narrow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FF0000"/>
      <name val="Arial Narrow"/>
    </font>
    <font>
      <sz val="12"/>
      <name val="Monaco"/>
    </font>
    <font>
      <sz val="11"/>
      <color theme="1"/>
      <name val="Calibri"/>
      <family val="2"/>
      <scheme val="minor"/>
    </font>
    <font>
      <b/>
      <sz val="10"/>
      <name val="Mohave"/>
    </font>
    <font>
      <b/>
      <sz val="10"/>
      <color theme="0"/>
      <name val="Mohave"/>
    </font>
    <font>
      <sz val="10"/>
      <color theme="1"/>
      <name val="qontra"/>
    </font>
    <font>
      <sz val="12"/>
      <color theme="1"/>
      <name val="qontra"/>
    </font>
    <font>
      <sz val="12"/>
      <color theme="1"/>
      <name val="Mohave"/>
    </font>
    <font>
      <b/>
      <sz val="11"/>
      <name val="Mohave"/>
    </font>
    <font>
      <b/>
      <sz val="11"/>
      <color theme="1"/>
      <name val="Mohave"/>
    </font>
    <font>
      <sz val="11"/>
      <color theme="1"/>
      <name val="qontra"/>
    </font>
    <font>
      <sz val="10"/>
      <name val="qontra"/>
    </font>
    <font>
      <b/>
      <sz val="14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4F6228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5" tint="-0.249977111117893"/>
        <bgColor rgb="FF000000"/>
      </patternFill>
    </fill>
    <fill>
      <patternFill patternType="solid">
        <fgColor theme="5" tint="-0.499984740745262"/>
        <bgColor rgb="FF000000"/>
      </patternFill>
    </fill>
    <fill>
      <patternFill patternType="solid">
        <fgColor theme="1"/>
        <bgColor rgb="FF000000"/>
      </patternFill>
    </fill>
    <fill>
      <patternFill patternType="solid">
        <fgColor rgb="FF40315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thin">
        <color auto="1"/>
      </left>
      <right style="medium">
        <color rgb="FFFFFFFF"/>
      </right>
      <top style="thin">
        <color auto="1"/>
      </top>
      <bottom style="medium">
        <color rgb="FFFFFFFF"/>
      </bottom>
      <diagonal/>
    </border>
    <border>
      <left style="thin">
        <color auto="1"/>
      </left>
      <right style="medium">
        <color rgb="FFFFFFFF"/>
      </right>
      <top style="thin">
        <color auto="1"/>
      </top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/>
      <top/>
      <bottom/>
      <diagonal/>
    </border>
  </borders>
  <cellStyleXfs count="299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49">
    <xf numFmtId="0" fontId="0" fillId="0" borderId="0" xfId="0"/>
    <xf numFmtId="0" fontId="8" fillId="0" borderId="0" xfId="0" applyFont="1"/>
    <xf numFmtId="0" fontId="0" fillId="2" borderId="0" xfId="0" applyFill="1"/>
    <xf numFmtId="0" fontId="8" fillId="2" borderId="0" xfId="0" applyFont="1" applyFill="1"/>
    <xf numFmtId="0" fontId="9" fillId="3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10" fontId="8" fillId="2" borderId="0" xfId="0" applyNumberFormat="1" applyFont="1" applyFill="1"/>
    <xf numFmtId="0" fontId="10" fillId="5" borderId="7" xfId="0" applyFont="1" applyFill="1" applyBorder="1" applyAlignment="1">
      <alignment horizontal="right" vertical="center"/>
    </xf>
    <xf numFmtId="0" fontId="8" fillId="0" borderId="0" xfId="0" applyFont="1" applyFill="1"/>
    <xf numFmtId="0" fontId="8" fillId="0" borderId="0" xfId="0" applyFont="1" applyFill="1" applyBorder="1"/>
    <xf numFmtId="0" fontId="8" fillId="4" borderId="7" xfId="0" applyFont="1" applyFill="1" applyBorder="1" applyAlignment="1">
      <alignment horizontal="left" vertical="center"/>
    </xf>
    <xf numFmtId="0" fontId="12" fillId="6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left" vertical="center"/>
    </xf>
    <xf numFmtId="0" fontId="14" fillId="2" borderId="0" xfId="0" applyFont="1" applyFill="1"/>
    <xf numFmtId="0" fontId="4" fillId="2" borderId="0" xfId="0" applyFont="1" applyFill="1"/>
    <xf numFmtId="0" fontId="14" fillId="2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15" fillId="2" borderId="0" xfId="0" applyFont="1" applyFill="1" applyAlignment="1">
      <alignment horizontal="left" vertical="center" indent="2"/>
    </xf>
    <xf numFmtId="0" fontId="0" fillId="2" borderId="0" xfId="0" applyFill="1" applyBorder="1"/>
    <xf numFmtId="0" fontId="10" fillId="4" borderId="0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left" vertical="center"/>
    </xf>
    <xf numFmtId="0" fontId="17" fillId="2" borderId="0" xfId="0" applyFont="1" applyFill="1"/>
    <xf numFmtId="0" fontId="18" fillId="9" borderId="7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0" fillId="2" borderId="4" xfId="0" applyFill="1" applyBorder="1"/>
    <xf numFmtId="0" fontId="10" fillId="2" borderId="5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horizontal="center" vertical="center"/>
    </xf>
    <xf numFmtId="0" fontId="12" fillId="13" borderId="7" xfId="0" applyFont="1" applyFill="1" applyBorder="1" applyAlignment="1">
      <alignment horizontal="center" vertical="center"/>
    </xf>
    <xf numFmtId="0" fontId="12" fillId="14" borderId="7" xfId="0" applyFont="1" applyFill="1" applyBorder="1" applyAlignment="1">
      <alignment horizontal="center" vertical="center"/>
    </xf>
    <xf numFmtId="0" fontId="9" fillId="15" borderId="7" xfId="0" applyFont="1" applyFill="1" applyBorder="1" applyAlignment="1">
      <alignment horizontal="center" vertical="center"/>
    </xf>
    <xf numFmtId="0" fontId="2" fillId="16" borderId="7" xfId="0" applyFont="1" applyFill="1" applyBorder="1" applyAlignment="1">
      <alignment horizontal="center" vertical="center"/>
    </xf>
    <xf numFmtId="0" fontId="12" fillId="17" borderId="7" xfId="0" applyFont="1" applyFill="1" applyBorder="1" applyAlignment="1">
      <alignment horizontal="center" vertical="center"/>
    </xf>
    <xf numFmtId="0" fontId="2" fillId="18" borderId="7" xfId="0" applyFont="1" applyFill="1" applyBorder="1" applyAlignment="1">
      <alignment horizontal="center" vertical="center"/>
    </xf>
    <xf numFmtId="0" fontId="2" fillId="19" borderId="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0" borderId="7" xfId="0" applyFont="1" applyFill="1" applyBorder="1" applyAlignment="1">
      <alignment horizontal="center" vertical="center"/>
    </xf>
    <xf numFmtId="0" fontId="12" fillId="21" borderId="7" xfId="0" applyFont="1" applyFill="1" applyBorder="1" applyAlignment="1">
      <alignment horizontal="center" vertical="center"/>
    </xf>
    <xf numFmtId="0" fontId="2" fillId="22" borderId="7" xfId="0" applyFont="1" applyFill="1" applyBorder="1" applyAlignment="1">
      <alignment horizontal="center" vertical="center"/>
    </xf>
    <xf numFmtId="0" fontId="2" fillId="23" borderId="7" xfId="0" applyFont="1" applyFill="1" applyBorder="1" applyAlignment="1">
      <alignment horizontal="center" vertical="center"/>
    </xf>
    <xf numFmtId="0" fontId="2" fillId="24" borderId="7" xfId="0" applyFont="1" applyFill="1" applyBorder="1" applyAlignment="1">
      <alignment horizontal="center" vertical="center"/>
    </xf>
    <xf numFmtId="0" fontId="2" fillId="23" borderId="0" xfId="0" applyFont="1" applyFill="1" applyBorder="1" applyAlignment="1">
      <alignment horizontal="center" vertical="center"/>
    </xf>
    <xf numFmtId="0" fontId="2" fillId="25" borderId="7" xfId="0" applyFont="1" applyFill="1" applyBorder="1" applyAlignment="1">
      <alignment horizontal="center" vertical="center"/>
    </xf>
    <xf numFmtId="0" fontId="2" fillId="26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12" fillId="27" borderId="7" xfId="0" applyFont="1" applyFill="1" applyBorder="1" applyAlignment="1">
      <alignment horizontal="center" vertical="center"/>
    </xf>
    <xf numFmtId="0" fontId="12" fillId="28" borderId="7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0" fillId="3" borderId="8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1" fillId="2" borderId="0" xfId="0" applyFont="1" applyFill="1" applyAlignment="1">
      <alignment horizontal="left" vertical="center" indent="2"/>
    </xf>
    <xf numFmtId="0" fontId="22" fillId="2" borderId="3" xfId="0" applyFont="1" applyFill="1" applyBorder="1"/>
    <xf numFmtId="0" fontId="0" fillId="2" borderId="3" xfId="0" applyFill="1" applyBorder="1"/>
    <xf numFmtId="0" fontId="12" fillId="28" borderId="0" xfId="0" applyFont="1" applyFill="1" applyBorder="1" applyAlignment="1">
      <alignment horizontal="center" vertical="center"/>
    </xf>
    <xf numFmtId="0" fontId="2" fillId="30" borderId="7" xfId="0" applyFont="1" applyFill="1" applyBorder="1" applyAlignment="1">
      <alignment horizontal="center" vertical="center"/>
    </xf>
    <xf numFmtId="0" fontId="2" fillId="30" borderId="0" xfId="0" applyFont="1" applyFill="1" applyBorder="1" applyAlignment="1">
      <alignment horizontal="center" vertical="center"/>
    </xf>
    <xf numFmtId="0" fontId="2" fillId="31" borderId="7" xfId="0" applyFont="1" applyFill="1" applyBorder="1" applyAlignment="1">
      <alignment horizontal="center" vertical="center"/>
    </xf>
    <xf numFmtId="0" fontId="12" fillId="32" borderId="7" xfId="0" applyFont="1" applyFill="1" applyBorder="1" applyAlignment="1">
      <alignment horizontal="center" vertical="center"/>
    </xf>
    <xf numFmtId="0" fontId="12" fillId="33" borderId="7" xfId="0" applyFont="1" applyFill="1" applyBorder="1" applyAlignment="1">
      <alignment horizontal="center" vertical="center"/>
    </xf>
    <xf numFmtId="0" fontId="12" fillId="34" borderId="7" xfId="0" applyFont="1" applyFill="1" applyBorder="1" applyAlignment="1">
      <alignment horizontal="center" vertical="center"/>
    </xf>
    <xf numFmtId="0" fontId="12" fillId="35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9" fillId="36" borderId="7" xfId="0" applyFont="1" applyFill="1" applyBorder="1" applyAlignment="1">
      <alignment horizontal="center" vertical="center"/>
    </xf>
    <xf numFmtId="0" fontId="12" fillId="37" borderId="7" xfId="0" applyFont="1" applyFill="1" applyBorder="1" applyAlignment="1">
      <alignment horizontal="center" vertical="center"/>
    </xf>
    <xf numFmtId="16" fontId="14" fillId="37" borderId="0" xfId="0" applyNumberFormat="1" applyFont="1" applyFill="1" applyAlignment="1">
      <alignment horizontal="center"/>
    </xf>
    <xf numFmtId="0" fontId="19" fillId="3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/>
    </xf>
    <xf numFmtId="2" fontId="8" fillId="2" borderId="0" xfId="0" applyNumberFormat="1" applyFont="1" applyFill="1" applyAlignment="1">
      <alignment horizontal="center"/>
    </xf>
    <xf numFmtId="0" fontId="2" fillId="39" borderId="7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15" fontId="0" fillId="2" borderId="0" xfId="0" applyNumberFormat="1" applyFill="1"/>
    <xf numFmtId="0" fontId="12" fillId="27" borderId="0" xfId="0" applyFont="1" applyFill="1" applyBorder="1" applyAlignment="1">
      <alignment horizontal="center" vertical="center"/>
    </xf>
    <xf numFmtId="0" fontId="2" fillId="38" borderId="0" xfId="0" applyFont="1" applyFill="1" applyBorder="1" applyAlignment="1">
      <alignment horizontal="center" vertical="center"/>
    </xf>
    <xf numFmtId="0" fontId="12" fillId="21" borderId="0" xfId="0" applyFont="1" applyFill="1" applyBorder="1" applyAlignment="1">
      <alignment horizontal="center" vertical="center"/>
    </xf>
    <xf numFmtId="0" fontId="2" fillId="25" borderId="0" xfId="0" applyFont="1" applyFill="1" applyBorder="1" applyAlignment="1">
      <alignment horizontal="center" vertical="center"/>
    </xf>
    <xf numFmtId="0" fontId="2" fillId="16" borderId="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10" fillId="4" borderId="7" xfId="0" applyFont="1" applyFill="1" applyBorder="1" applyAlignment="1">
      <alignment horizontal="left" vertical="center"/>
    </xf>
    <xf numFmtId="0" fontId="0" fillId="2" borderId="0" xfId="0" applyFill="1" applyAlignment="1">
      <alignment horizontal="left"/>
    </xf>
    <xf numFmtId="0" fontId="12" fillId="6" borderId="7" xfId="0" applyFont="1" applyFill="1" applyBorder="1" applyAlignment="1">
      <alignment horizontal="center" vertical="center"/>
    </xf>
    <xf numFmtId="0" fontId="2" fillId="26" borderId="0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0" fontId="2" fillId="18" borderId="0" xfId="0" applyFont="1" applyFill="1" applyBorder="1" applyAlignment="1">
      <alignment horizontal="center" vertical="center"/>
    </xf>
    <xf numFmtId="0" fontId="12" fillId="13" borderId="0" xfId="0" applyFont="1" applyFill="1" applyBorder="1" applyAlignment="1">
      <alignment horizontal="center" vertical="center"/>
    </xf>
    <xf numFmtId="0" fontId="2" fillId="22" borderId="0" xfId="0" applyFont="1" applyFill="1" applyBorder="1" applyAlignment="1">
      <alignment horizontal="center" vertical="center"/>
    </xf>
    <xf numFmtId="0" fontId="12" fillId="2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25" fillId="2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27" fillId="2" borderId="0" xfId="0" applyFont="1" applyFill="1" applyBorder="1"/>
    <xf numFmtId="0" fontId="12" fillId="6" borderId="7" xfId="0" applyFont="1" applyFill="1" applyBorder="1" applyAlignment="1">
      <alignment horizontal="center" vertical="center"/>
    </xf>
    <xf numFmtId="0" fontId="28" fillId="2" borderId="6" xfId="0" applyFont="1" applyFill="1" applyBorder="1" applyAlignment="1">
      <alignment horizontal="left" vertical="center"/>
    </xf>
    <xf numFmtId="0" fontId="28" fillId="2" borderId="6" xfId="0" applyFont="1" applyFill="1" applyBorder="1" applyAlignment="1">
      <alignment horizontal="center" vertical="center"/>
    </xf>
    <xf numFmtId="0" fontId="29" fillId="6" borderId="7" xfId="0" applyFont="1" applyFill="1" applyBorder="1" applyAlignment="1">
      <alignment horizontal="center" vertical="center"/>
    </xf>
    <xf numFmtId="0" fontId="29" fillId="7" borderId="7" xfId="0" applyFont="1" applyFill="1" applyBorder="1" applyAlignment="1">
      <alignment horizontal="center" vertical="center"/>
    </xf>
    <xf numFmtId="0" fontId="29" fillId="8" borderId="7" xfId="0" applyFont="1" applyFill="1" applyBorder="1" applyAlignment="1">
      <alignment horizontal="center" vertical="center"/>
    </xf>
    <xf numFmtId="0" fontId="30" fillId="4" borderId="7" xfId="0" applyFont="1" applyFill="1" applyBorder="1" applyAlignment="1">
      <alignment horizontal="left" vertical="center"/>
    </xf>
    <xf numFmtId="0" fontId="31" fillId="2" borderId="0" xfId="0" applyFont="1" applyFill="1"/>
    <xf numFmtId="0" fontId="30" fillId="5" borderId="7" xfId="0" applyFont="1" applyFill="1" applyBorder="1" applyAlignment="1">
      <alignment horizontal="right" vertical="center"/>
    </xf>
    <xf numFmtId="0" fontId="32" fillId="2" borderId="0" xfId="0" applyFont="1" applyFill="1"/>
    <xf numFmtId="0" fontId="33" fillId="2" borderId="0" xfId="0" applyFont="1" applyFill="1" applyBorder="1" applyAlignment="1">
      <alignment horizontal="left" vertical="center"/>
    </xf>
    <xf numFmtId="0" fontId="34" fillId="2" borderId="0" xfId="0" applyFont="1" applyFill="1" applyAlignment="1">
      <alignment horizontal="right"/>
    </xf>
    <xf numFmtId="0" fontId="32" fillId="2" borderId="4" xfId="0" applyFont="1" applyFill="1" applyBorder="1"/>
    <xf numFmtId="0" fontId="34" fillId="2" borderId="0" xfId="0" applyFont="1" applyFill="1" applyBorder="1" applyAlignment="1">
      <alignment horizontal="right"/>
    </xf>
    <xf numFmtId="2" fontId="34" fillId="2" borderId="0" xfId="0" applyNumberFormat="1" applyFont="1" applyFill="1" applyAlignment="1">
      <alignment horizontal="right"/>
    </xf>
    <xf numFmtId="0" fontId="35" fillId="2" borderId="0" xfId="0" applyFont="1" applyFill="1"/>
    <xf numFmtId="0" fontId="36" fillId="2" borderId="0" xfId="0" applyFont="1" applyFill="1" applyBorder="1" applyAlignment="1">
      <alignment horizontal="left" vertical="center"/>
    </xf>
    <xf numFmtId="0" fontId="31" fillId="2" borderId="4" xfId="0" applyFont="1" applyFill="1" applyBorder="1"/>
    <xf numFmtId="0" fontId="31" fillId="2" borderId="0" xfId="0" applyFont="1" applyFill="1" applyBorder="1"/>
    <xf numFmtId="0" fontId="35" fillId="2" borderId="0" xfId="0" applyFont="1" applyFill="1" applyBorder="1"/>
    <xf numFmtId="0" fontId="12" fillId="37" borderId="0" xfId="0" applyFont="1" applyFill="1" applyBorder="1" applyAlignment="1">
      <alignment horizontal="center" vertical="center"/>
    </xf>
    <xf numFmtId="0" fontId="2" fillId="24" borderId="0" xfId="0" applyFont="1" applyFill="1" applyBorder="1" applyAlignment="1">
      <alignment horizontal="center" vertical="center"/>
    </xf>
    <xf numFmtId="0" fontId="2" fillId="19" borderId="0" xfId="0" applyFont="1" applyFill="1" applyBorder="1" applyAlignment="1">
      <alignment horizontal="center" vertical="center"/>
    </xf>
    <xf numFmtId="0" fontId="2" fillId="31" borderId="0" xfId="0" applyFont="1" applyFill="1" applyBorder="1" applyAlignment="1">
      <alignment horizontal="center" vertical="center"/>
    </xf>
    <xf numFmtId="0" fontId="12" fillId="32" borderId="0" xfId="0" applyFont="1" applyFill="1" applyBorder="1" applyAlignment="1">
      <alignment horizontal="center" vertical="center"/>
    </xf>
    <xf numFmtId="0" fontId="9" fillId="15" borderId="0" xfId="0" applyFont="1" applyFill="1" applyBorder="1" applyAlignment="1">
      <alignment horizontal="center" vertical="center"/>
    </xf>
    <xf numFmtId="0" fontId="2" fillId="39" borderId="0" xfId="0" applyFont="1" applyFill="1" applyBorder="1" applyAlignment="1">
      <alignment horizontal="center" vertical="center"/>
    </xf>
    <xf numFmtId="2" fontId="8" fillId="2" borderId="0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10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9" fillId="40" borderId="12" xfId="0" applyFont="1" applyFill="1" applyBorder="1" applyAlignment="1">
      <alignment horizontal="center" vertical="center"/>
    </xf>
    <xf numFmtId="0" fontId="9" fillId="40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37" fillId="2" borderId="0" xfId="0" applyFont="1" applyFill="1"/>
    <xf numFmtId="0" fontId="0" fillId="0" borderId="0" xfId="0" applyFill="1" applyBorder="1"/>
    <xf numFmtId="0" fontId="12" fillId="0" borderId="0" xfId="0" applyFont="1" applyFill="1" applyBorder="1" applyAlignment="1">
      <alignment horizontal="center" vertical="center"/>
    </xf>
    <xf numFmtId="2" fontId="32" fillId="2" borderId="4" xfId="0" applyNumberFormat="1" applyFont="1" applyFill="1" applyBorder="1"/>
    <xf numFmtId="0" fontId="33" fillId="38" borderId="0" xfId="0" applyFont="1" applyFill="1" applyBorder="1" applyAlignment="1">
      <alignment horizontal="left" vertical="center"/>
    </xf>
    <xf numFmtId="2" fontId="34" fillId="2" borderId="0" xfId="0" applyNumberFormat="1" applyFont="1" applyFill="1" applyBorder="1" applyAlignment="1">
      <alignment horizontal="right"/>
    </xf>
  </cellXfs>
  <cellStyles count="2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Normal" xfId="0" builtinId="0"/>
  </cellStyles>
  <dxfs count="1177"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lor theme="0"/>
      </font>
      <fill>
        <patternFill patternType="solid">
          <fgColor indexed="64"/>
          <bgColor theme="8" tint="-0.499984740745262"/>
        </patternFill>
      </fill>
    </dxf>
    <dxf>
      <font>
        <b/>
        <i val="0"/>
        <color theme="0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lor theme="1"/>
      </font>
      <fill>
        <patternFill patternType="solid">
          <fgColor indexed="64"/>
          <bgColor theme="8" tint="0.79998168889431442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08393977895041"/>
          <c:y val="0.0720699320806159"/>
          <c:w val="0.906905415578771"/>
          <c:h val="0.7650504771809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'Statistics full paper'!$B$22</c:f>
              <c:strCache>
                <c:ptCount val="1"/>
                <c:pt idx="0">
                  <c:v>Generic/Undefined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'Statistics full paper'!$C$3:$M$3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 (jan)</c:v>
                </c:pt>
              </c:strCache>
            </c:strRef>
          </c:cat>
          <c:val>
            <c:numRef>
              <c:f>'Statistics full paper'!$C$22:$M$22</c:f>
              <c:numCache>
                <c:formatCode>General</c:formatCode>
                <c:ptCount val="11"/>
                <c:pt idx="0">
                  <c:v>2.0</c:v>
                </c:pt>
                <c:pt idx="1">
                  <c:v>2.0</c:v>
                </c:pt>
                <c:pt idx="2">
                  <c:v>4.0</c:v>
                </c:pt>
                <c:pt idx="3">
                  <c:v>0.0</c:v>
                </c:pt>
                <c:pt idx="4">
                  <c:v>3.0</c:v>
                </c:pt>
                <c:pt idx="5">
                  <c:v>16.0</c:v>
                </c:pt>
                <c:pt idx="6">
                  <c:v>8.0</c:v>
                </c:pt>
                <c:pt idx="7">
                  <c:v>9.0</c:v>
                </c:pt>
                <c:pt idx="8">
                  <c:v>11.0</c:v>
                </c:pt>
                <c:pt idx="9">
                  <c:v>15.0</c:v>
                </c:pt>
                <c:pt idx="10">
                  <c:v>6.0</c:v>
                </c:pt>
              </c:numCache>
            </c:numRef>
          </c:val>
        </c:ser>
        <c:ser>
          <c:idx val="1"/>
          <c:order val="1"/>
          <c:tx>
            <c:strRef>
              <c:f>'Statistics full paper'!$B$23</c:f>
              <c:strCache>
                <c:ptCount val="1"/>
                <c:pt idx="0">
                  <c:v>Agriculture and mining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'Statistics full paper'!$C$3:$M$3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 (jan)</c:v>
                </c:pt>
              </c:strCache>
            </c:strRef>
          </c:cat>
          <c:val>
            <c:numRef>
              <c:f>'Statistics full paper'!$C$23:$M$23</c:f>
              <c:numCache>
                <c:formatCode>General</c:formatCode>
                <c:ptCount val="11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'Statistics full paper'!$B$24</c:f>
              <c:strCache>
                <c:ptCount val="1"/>
                <c:pt idx="0">
                  <c:v>Building and transportation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'Statistics full paper'!$C$3:$M$3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 (jan)</c:v>
                </c:pt>
              </c:strCache>
            </c:strRef>
          </c:cat>
          <c:val>
            <c:numRef>
              <c:f>'Statistics full paper'!$C$24:$M$24</c:f>
              <c:numCache>
                <c:formatCode>General</c:formatCode>
                <c:ptCount val="11"/>
                <c:pt idx="0">
                  <c:v>2.0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2.0</c:v>
                </c:pt>
                <c:pt idx="5">
                  <c:v>4.0</c:v>
                </c:pt>
                <c:pt idx="6">
                  <c:v>1.0</c:v>
                </c:pt>
                <c:pt idx="7">
                  <c:v>1.0</c:v>
                </c:pt>
                <c:pt idx="8">
                  <c:v>5.0</c:v>
                </c:pt>
                <c:pt idx="9">
                  <c:v>2.0</c:v>
                </c:pt>
                <c:pt idx="10">
                  <c:v>0.0</c:v>
                </c:pt>
              </c:numCache>
            </c:numRef>
          </c:val>
        </c:ser>
        <c:ser>
          <c:idx val="3"/>
          <c:order val="3"/>
          <c:tx>
            <c:strRef>
              <c:f>'Statistics full paper'!$B$25</c:f>
              <c:strCache>
                <c:ptCount val="1"/>
                <c:pt idx="0">
                  <c:v>Commodities/consumer products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'Statistics full paper'!$C$3:$M$3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 (jan)</c:v>
                </c:pt>
              </c:strCache>
            </c:strRef>
          </c:cat>
          <c:val>
            <c:numRef>
              <c:f>'Statistics full paper'!$C$25:$M$25</c:f>
              <c:numCache>
                <c:formatCode>General</c:formatCode>
                <c:ptCount val="11"/>
                <c:pt idx="0">
                  <c:v>3.0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6.0</c:v>
                </c:pt>
                <c:pt idx="5">
                  <c:v>3.0</c:v>
                </c:pt>
                <c:pt idx="6">
                  <c:v>2.0</c:v>
                </c:pt>
                <c:pt idx="7">
                  <c:v>7.0</c:v>
                </c:pt>
                <c:pt idx="8">
                  <c:v>9.0</c:v>
                </c:pt>
                <c:pt idx="9">
                  <c:v>7.0</c:v>
                </c:pt>
                <c:pt idx="10">
                  <c:v>3.0</c:v>
                </c:pt>
              </c:numCache>
            </c:numRef>
          </c:val>
        </c:ser>
        <c:ser>
          <c:idx val="4"/>
          <c:order val="4"/>
          <c:tx>
            <c:strRef>
              <c:f>'Statistics full paper'!$B$26</c:f>
              <c:strCache>
                <c:ptCount val="1"/>
                <c:pt idx="0">
                  <c:v>Automotive and machineries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'Statistics full paper'!$C$3:$M$3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 (jan)</c:v>
                </c:pt>
              </c:strCache>
            </c:strRef>
          </c:cat>
          <c:val>
            <c:numRef>
              <c:f>'Statistics full paper'!$C$26:$M$26</c:f>
              <c:numCache>
                <c:formatCode>General</c:formatCode>
                <c:ptCount val="11"/>
                <c:pt idx="0">
                  <c:v>1.0</c:v>
                </c:pt>
                <c:pt idx="1">
                  <c:v>1.0</c:v>
                </c:pt>
                <c:pt idx="2">
                  <c:v>0.0</c:v>
                </c:pt>
                <c:pt idx="3">
                  <c:v>2.0</c:v>
                </c:pt>
                <c:pt idx="4">
                  <c:v>6.0</c:v>
                </c:pt>
                <c:pt idx="5">
                  <c:v>1.0</c:v>
                </c:pt>
                <c:pt idx="6">
                  <c:v>9.0</c:v>
                </c:pt>
                <c:pt idx="7">
                  <c:v>7.0</c:v>
                </c:pt>
                <c:pt idx="8">
                  <c:v>7.0</c:v>
                </c:pt>
                <c:pt idx="9">
                  <c:v>12.0</c:v>
                </c:pt>
                <c:pt idx="10">
                  <c:v>2.0</c:v>
                </c:pt>
              </c:numCache>
            </c:numRef>
          </c:val>
        </c:ser>
        <c:ser>
          <c:idx val="5"/>
          <c:order val="5"/>
          <c:tx>
            <c:strRef>
              <c:f>'Statistics full paper'!$B$27</c:f>
              <c:strCache>
                <c:ptCount val="1"/>
                <c:pt idx="0">
                  <c:v>Advanced Engineering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cat>
            <c:strRef>
              <c:f>'Statistics full paper'!$C$3:$M$3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 (jan)</c:v>
                </c:pt>
              </c:strCache>
            </c:strRef>
          </c:cat>
          <c:val>
            <c:numRef>
              <c:f>'Statistics full paper'!$C$27:$M$27</c:f>
              <c:numCache>
                <c:formatCode>General</c:formatCode>
                <c:ptCount val="11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1.0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4226544"/>
        <c:axId val="-154223792"/>
      </c:barChart>
      <c:catAx>
        <c:axId val="-15422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have"/>
                <a:ea typeface="+mn-ea"/>
                <a:cs typeface="Mohave"/>
              </a:defRPr>
            </a:pPr>
            <a:endParaRPr lang="en-US"/>
          </a:p>
        </c:txPr>
        <c:crossAx val="-154223792"/>
        <c:crosses val="autoZero"/>
        <c:auto val="1"/>
        <c:lblAlgn val="ctr"/>
        <c:lblOffset val="100"/>
        <c:noMultiLvlLbl val="0"/>
      </c:catAx>
      <c:valAx>
        <c:axId val="-15422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have"/>
                <a:ea typeface="+mn-ea"/>
                <a:cs typeface="Mohave"/>
              </a:defRPr>
            </a:pPr>
            <a:endParaRPr lang="en-US"/>
          </a:p>
        </c:txPr>
        <c:crossAx val="-154226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34228187919463"/>
          <c:y val="0.0966055978536054"/>
          <c:w val="0.667890662157163"/>
          <c:h val="0.901954956115451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1200" b="0">
                      <a:solidFill>
                        <a:schemeClr val="tx1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spPr/>
              <c:txPr>
                <a:bodyPr/>
                <a:lstStyle/>
                <a:p>
                  <a:pPr>
                    <a:defRPr sz="1200" b="0">
                      <a:solidFill>
                        <a:schemeClr val="tx1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spPr/>
              <c:txPr>
                <a:bodyPr/>
                <a:lstStyle/>
                <a:p>
                  <a:pPr>
                    <a:defRPr sz="1200" b="0">
                      <a:solidFill>
                        <a:srgbClr val="FFFFFF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00279078370237277"/>
                  <c:y val="-0.142304619465635"/>
                </c:manualLayout>
              </c:layout>
              <c:spPr/>
              <c:txPr>
                <a:bodyPr/>
                <a:lstStyle/>
                <a:p>
                  <a:pPr>
                    <a:defRPr sz="1200" b="0">
                      <a:solidFill>
                        <a:schemeClr val="tx1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0">
                    <a:latin typeface="Mohave"/>
                    <a:cs typeface="Mohave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'Statistics full paper'!$B$22:$B$27</c:f>
              <c:strCache>
                <c:ptCount val="6"/>
                <c:pt idx="0">
                  <c:v>Generic/Undefined</c:v>
                </c:pt>
                <c:pt idx="1">
                  <c:v>Agriculture and mining</c:v>
                </c:pt>
                <c:pt idx="2">
                  <c:v>Building and transportation</c:v>
                </c:pt>
                <c:pt idx="3">
                  <c:v>Commodities/consumer products</c:v>
                </c:pt>
                <c:pt idx="4">
                  <c:v>Automotive and machineries</c:v>
                </c:pt>
                <c:pt idx="5">
                  <c:v>Advanced Engineering</c:v>
                </c:pt>
              </c:strCache>
            </c:strRef>
          </c:cat>
          <c:val>
            <c:numRef>
              <c:f>'Statistics full paper'!$N$22:$N$27</c:f>
              <c:numCache>
                <c:formatCode>General</c:formatCode>
                <c:ptCount val="6"/>
                <c:pt idx="0">
                  <c:v>76.0</c:v>
                </c:pt>
                <c:pt idx="1">
                  <c:v>3.0</c:v>
                </c:pt>
                <c:pt idx="2">
                  <c:v>20.0</c:v>
                </c:pt>
                <c:pt idx="3">
                  <c:v>43.0</c:v>
                </c:pt>
                <c:pt idx="4">
                  <c:v>48.0</c:v>
                </c:pt>
                <c:pt idx="5">
                  <c:v>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7582307245151"/>
          <c:y val="0.0749896430537808"/>
          <c:w val="0.307568038894467"/>
          <c:h val="0.8856311242915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have"/>
              <a:ea typeface="+mn-ea"/>
              <a:cs typeface="Mohave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69857625383991"/>
          <c:y val="0.0425992086810044"/>
          <c:w val="0.674686928193741"/>
          <c:h val="0.957400791318996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2"/>
              <c:spPr/>
              <c:txPr>
                <a:bodyPr/>
                <a:lstStyle/>
                <a:p>
                  <a:pPr>
                    <a:defRPr sz="1200" b="0">
                      <a:solidFill>
                        <a:srgbClr val="FFFFFF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spPr/>
              <c:txPr>
                <a:bodyPr/>
                <a:lstStyle/>
                <a:p>
                  <a:pPr>
                    <a:defRPr sz="1200" b="0">
                      <a:solidFill>
                        <a:srgbClr val="FFFFFF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0">
                    <a:latin typeface="Mohave"/>
                    <a:cs typeface="Mohave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'Statistics full paper'!$B$4:$B$7</c:f>
              <c:strCache>
                <c:ptCount val="4"/>
                <c:pt idx="0">
                  <c:v>Operational</c:v>
                </c:pt>
                <c:pt idx="1">
                  <c:v>Tactical</c:v>
                </c:pt>
                <c:pt idx="2">
                  <c:v>Strategic</c:v>
                </c:pt>
                <c:pt idx="3">
                  <c:v>Metalevel</c:v>
                </c:pt>
              </c:strCache>
            </c:strRef>
          </c:cat>
          <c:val>
            <c:numRef>
              <c:f>'Statistics full paper'!$N$4:$N$7</c:f>
              <c:numCache>
                <c:formatCode>General</c:formatCode>
                <c:ptCount val="4"/>
                <c:pt idx="0">
                  <c:v>58.0</c:v>
                </c:pt>
                <c:pt idx="1">
                  <c:v>34.0</c:v>
                </c:pt>
                <c:pt idx="2">
                  <c:v>81.0</c:v>
                </c:pt>
                <c:pt idx="3">
                  <c:v>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2973496058302"/>
          <c:y val="0.26191444353038"/>
          <c:w val="0.257567350856426"/>
          <c:h val="0.470201224846894"/>
        </c:manualLayout>
      </c:layout>
      <c:overlay val="0"/>
      <c:txPr>
        <a:bodyPr/>
        <a:lstStyle/>
        <a:p>
          <a:pPr>
            <a:defRPr sz="1100" b="1">
              <a:latin typeface="Mohave"/>
              <a:cs typeface="Mohave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00333677810544"/>
          <c:y val="0.037271440937411"/>
          <c:w val="0.629727726368955"/>
          <c:h val="0.94040768054194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4"/>
              <c:spPr/>
              <c:txPr>
                <a:bodyPr/>
                <a:lstStyle/>
                <a:p>
                  <a:pPr>
                    <a:defRPr sz="1200">
                      <a:solidFill>
                        <a:schemeClr val="bg1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spPr/>
              <c:txPr>
                <a:bodyPr/>
                <a:lstStyle/>
                <a:p>
                  <a:pPr>
                    <a:defRPr sz="1200">
                      <a:solidFill>
                        <a:srgbClr val="FFFFFF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solidFill>
                      <a:srgbClr val="000000"/>
                    </a:solidFill>
                    <a:latin typeface="Mohave"/>
                    <a:cs typeface="Mohave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'Statistics full paper'!$B$35:$B$40</c:f>
              <c:strCache>
                <c:ptCount val="6"/>
                <c:pt idx="0">
                  <c:v>Company focus</c:v>
                </c:pt>
                <c:pt idx="1">
                  <c:v>Project focus</c:v>
                </c:pt>
                <c:pt idx="2">
                  <c:v>Process/asset focus</c:v>
                </c:pt>
                <c:pt idx="3">
                  <c:v>Service/PSS focus</c:v>
                </c:pt>
                <c:pt idx="4">
                  <c:v>Product focus</c:v>
                </c:pt>
                <c:pt idx="5">
                  <c:v>Material focus</c:v>
                </c:pt>
              </c:strCache>
            </c:strRef>
          </c:cat>
          <c:val>
            <c:numRef>
              <c:f>'Statistics full paper'!$N$35:$N$40</c:f>
              <c:numCache>
                <c:formatCode>General</c:formatCode>
                <c:ptCount val="6"/>
                <c:pt idx="0">
                  <c:v>54.0</c:v>
                </c:pt>
                <c:pt idx="1">
                  <c:v>13.0</c:v>
                </c:pt>
                <c:pt idx="2">
                  <c:v>12.0</c:v>
                </c:pt>
                <c:pt idx="3">
                  <c:v>20.0</c:v>
                </c:pt>
                <c:pt idx="4">
                  <c:v>82.0</c:v>
                </c:pt>
                <c:pt idx="5">
                  <c:v>12.0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1143730028664"/>
          <c:y val="0.138389132913682"/>
          <c:w val="0.27906978788279"/>
          <c:h val="0.7736238191916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have"/>
              <a:ea typeface="+mn-ea"/>
              <a:cs typeface="Mohave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40023973758066"/>
          <c:y val="0.0609146411046445"/>
          <c:w val="0.435688455989492"/>
          <c:h val="0.865851877211001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1"/>
              </a:solidFill>
            </c:spPr>
          </c:dPt>
          <c:dPt>
            <c:idx val="1"/>
            <c:bubble3D val="0"/>
            <c:spPr>
              <a:pattFill prst="dkUp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3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</c:spPr>
          </c:dPt>
          <c:dPt>
            <c:idx val="4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Pt>
            <c:idx val="5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8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0"/>
            <c:bubble3D val="0"/>
            <c:spPr>
              <a:solidFill>
                <a:schemeClr val="bg1">
                  <a:lumMod val="95000"/>
                </a:schemeClr>
              </a:solidFill>
            </c:spPr>
          </c:dPt>
          <c:dLbls>
            <c:dLbl>
              <c:idx val="0"/>
              <c:layout>
                <c:manualLayout>
                  <c:x val="0.077658979243039"/>
                  <c:y val="-0.0760869565217391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0658413084886635"/>
                  <c:y val="-0.0579710144927536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70906024526253"/>
                  <c:y val="-0.0181159420289856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74282501884646"/>
                  <c:y val="0.0181159420289855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742823689524665"/>
                  <c:y val="0.0362318840579709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074282501884646"/>
                  <c:y val="0.0579710144927536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.0692177858470565"/>
                  <c:y val="0.0869565217391303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0588805807753748"/>
                  <c:y val="0.0978260869565217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0496299633386342"/>
                  <c:y val="0.123188405797101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chemeClr val="tx1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.0364630811303555"/>
                  <c:y val="0.126811594202899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spPr/>
              <c:txPr>
                <a:bodyPr/>
                <a:lstStyle/>
                <a:p>
                  <a:pPr>
                    <a:defRPr sz="1400">
                      <a:solidFill>
                        <a:srgbClr val="000000"/>
                      </a:solidFill>
                      <a:latin typeface="Mohave"/>
                      <a:cs typeface="Mohave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FFFF"/>
                    </a:solidFill>
                    <a:latin typeface="Mohave"/>
                    <a:cs typeface="Mohave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'SOURCE ANALYSIS-FULL TEXT '!$K$5:$K$15</c:f>
              <c:strCache>
                <c:ptCount val="11"/>
                <c:pt idx="0">
                  <c:v>Journal of Cleaner Production (34)</c:v>
                </c:pt>
                <c:pt idx="1">
                  <c:v>Journal of Manufacturing Technology Management (7)</c:v>
                </c:pt>
                <c:pt idx="2">
                  <c:v>Supply Chain Management (7)</c:v>
                </c:pt>
                <c:pt idx="3">
                  <c:v>International Journal of Sustainable Engineering (6)</c:v>
                </c:pt>
                <c:pt idx="4">
                  <c:v>Clean Technologies and Environmental Policy (5)</c:v>
                </c:pt>
                <c:pt idx="5">
                  <c:v>Business Strategy and the Environment (5)</c:v>
                </c:pt>
                <c:pt idx="6">
                  <c:v>Ecological indicators (4)</c:v>
                </c:pt>
                <c:pt idx="7">
                  <c:v>Journal of Engineering, Design and Technology (3)</c:v>
                </c:pt>
                <c:pt idx="8">
                  <c:v>International Journal of Advanced Manufacturing Technology (3)</c:v>
                </c:pt>
                <c:pt idx="9">
                  <c:v>Benchmarking (3)</c:v>
                </c:pt>
                <c:pt idx="10">
                  <c:v>Other journal</c:v>
                </c:pt>
              </c:strCache>
            </c:strRef>
          </c:cat>
          <c:val>
            <c:numRef>
              <c:f>'SOURCE ANALYSIS-FULL TEXT '!$L$5:$L$15</c:f>
              <c:numCache>
                <c:formatCode>General</c:formatCode>
                <c:ptCount val="11"/>
                <c:pt idx="0">
                  <c:v>34.0</c:v>
                </c:pt>
                <c:pt idx="1">
                  <c:v>7.0</c:v>
                </c:pt>
                <c:pt idx="2">
                  <c:v>7.0</c:v>
                </c:pt>
                <c:pt idx="3">
                  <c:v>6.0</c:v>
                </c:pt>
                <c:pt idx="4">
                  <c:v>5.0</c:v>
                </c:pt>
                <c:pt idx="5">
                  <c:v>5.0</c:v>
                </c:pt>
                <c:pt idx="6">
                  <c:v>4.0</c:v>
                </c:pt>
                <c:pt idx="7">
                  <c:v>3.0</c:v>
                </c:pt>
                <c:pt idx="8">
                  <c:v>3.0</c:v>
                </c:pt>
                <c:pt idx="9">
                  <c:v>3.0</c:v>
                </c:pt>
                <c:pt idx="10">
                  <c:v>116.0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480369572728059"/>
          <c:y val="0.0557177907109437"/>
          <c:w val="0.505045241473298"/>
          <c:h val="0.888564133287687"/>
        </c:manualLayout>
      </c:layout>
      <c:overlay val="0"/>
      <c:txPr>
        <a:bodyPr/>
        <a:lstStyle/>
        <a:p>
          <a:pPr>
            <a:defRPr>
              <a:latin typeface="Mohave"/>
              <a:cs typeface="Mohave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506308071752057"/>
          <c:y val="0.0601851851851852"/>
          <c:w val="0.464939722318689"/>
          <c:h val="0.822469378827647"/>
        </c:manualLayout>
      </c:layout>
      <c:barChart>
        <c:barDir val="bar"/>
        <c:grouping val="stacked"/>
        <c:varyColors val="0"/>
        <c:ser>
          <c:idx val="0"/>
          <c:order val="0"/>
          <c:tx>
            <c:v>Operational</c:v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'SOURCE ANALYSIS-FULL TEXT '!$V$6:$V$15</c:f>
              <c:strCache>
                <c:ptCount val="10"/>
                <c:pt idx="0">
                  <c:v>Benchmarking</c:v>
                </c:pt>
                <c:pt idx="1">
                  <c:v>International Journal of Advanced Manufacturing Technology</c:v>
                </c:pt>
                <c:pt idx="2">
                  <c:v>Journal of Engineering, Design and Technology</c:v>
                </c:pt>
                <c:pt idx="3">
                  <c:v>Ecological indicators</c:v>
                </c:pt>
                <c:pt idx="4">
                  <c:v>Business Strategy and the Environment</c:v>
                </c:pt>
                <c:pt idx="5">
                  <c:v>Clean Technologies and Environmental Policy</c:v>
                </c:pt>
                <c:pt idx="6">
                  <c:v>International Journal of Sustainable Engineering</c:v>
                </c:pt>
                <c:pt idx="7">
                  <c:v>Supply Chain Management</c:v>
                </c:pt>
                <c:pt idx="8">
                  <c:v>Journal of Manufacturing Technology Management</c:v>
                </c:pt>
                <c:pt idx="9">
                  <c:v>Journal of Cleaner Production</c:v>
                </c:pt>
              </c:strCache>
            </c:strRef>
          </c:cat>
          <c:val>
            <c:numRef>
              <c:f>'SOURCE ANALYSIS-FULL TEXT '!$W$6:$W$15</c:f>
              <c:numCache>
                <c:formatCode>General</c:formatCode>
                <c:ptCount val="10"/>
                <c:pt idx="0">
                  <c:v>0.0</c:v>
                </c:pt>
                <c:pt idx="1">
                  <c:v>1.0</c:v>
                </c:pt>
                <c:pt idx="2">
                  <c:v>3.0</c:v>
                </c:pt>
                <c:pt idx="3">
                  <c:v>1.0</c:v>
                </c:pt>
                <c:pt idx="4">
                  <c:v>0.0</c:v>
                </c:pt>
                <c:pt idx="5">
                  <c:v>4.0</c:v>
                </c:pt>
                <c:pt idx="6">
                  <c:v>2.0</c:v>
                </c:pt>
                <c:pt idx="7">
                  <c:v>0.0</c:v>
                </c:pt>
                <c:pt idx="8">
                  <c:v>4.0</c:v>
                </c:pt>
                <c:pt idx="9">
                  <c:v>7.0</c:v>
                </c:pt>
              </c:numCache>
            </c:numRef>
          </c:val>
        </c:ser>
        <c:ser>
          <c:idx val="1"/>
          <c:order val="1"/>
          <c:tx>
            <c:v>Tactical</c:v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'SOURCE ANALYSIS-FULL TEXT '!$V$6:$V$15</c:f>
              <c:strCache>
                <c:ptCount val="10"/>
                <c:pt idx="0">
                  <c:v>Benchmarking</c:v>
                </c:pt>
                <c:pt idx="1">
                  <c:v>International Journal of Advanced Manufacturing Technology</c:v>
                </c:pt>
                <c:pt idx="2">
                  <c:v>Journal of Engineering, Design and Technology</c:v>
                </c:pt>
                <c:pt idx="3">
                  <c:v>Ecological indicators</c:v>
                </c:pt>
                <c:pt idx="4">
                  <c:v>Business Strategy and the Environment</c:v>
                </c:pt>
                <c:pt idx="5">
                  <c:v>Clean Technologies and Environmental Policy</c:v>
                </c:pt>
                <c:pt idx="6">
                  <c:v>International Journal of Sustainable Engineering</c:v>
                </c:pt>
                <c:pt idx="7">
                  <c:v>Supply Chain Management</c:v>
                </c:pt>
                <c:pt idx="8">
                  <c:v>Journal of Manufacturing Technology Management</c:v>
                </c:pt>
                <c:pt idx="9">
                  <c:v>Journal of Cleaner Production</c:v>
                </c:pt>
              </c:strCache>
            </c:strRef>
          </c:cat>
          <c:val>
            <c:numRef>
              <c:f>'SOURCE ANALYSIS-FULL TEXT '!$X$6:$X$15</c:f>
              <c:numCache>
                <c:formatCode>General</c:formatCode>
                <c:ptCount val="10"/>
                <c:pt idx="0">
                  <c:v>2.0</c:v>
                </c:pt>
                <c:pt idx="1">
                  <c:v>1.0</c:v>
                </c:pt>
                <c:pt idx="2">
                  <c:v>0.0</c:v>
                </c:pt>
                <c:pt idx="3">
                  <c:v>1.0</c:v>
                </c:pt>
                <c:pt idx="4">
                  <c:v>0.0</c:v>
                </c:pt>
                <c:pt idx="5">
                  <c:v>1.0</c:v>
                </c:pt>
                <c:pt idx="6">
                  <c:v>1.0</c:v>
                </c:pt>
                <c:pt idx="7">
                  <c:v>5.0</c:v>
                </c:pt>
                <c:pt idx="8">
                  <c:v>3.0</c:v>
                </c:pt>
                <c:pt idx="9">
                  <c:v>4.0</c:v>
                </c:pt>
              </c:numCache>
            </c:numRef>
          </c:val>
        </c:ser>
        <c:ser>
          <c:idx val="2"/>
          <c:order val="2"/>
          <c:tx>
            <c:v>Strategic</c:v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cat>
            <c:strRef>
              <c:f>'SOURCE ANALYSIS-FULL TEXT '!$V$6:$V$15</c:f>
              <c:strCache>
                <c:ptCount val="10"/>
                <c:pt idx="0">
                  <c:v>Benchmarking</c:v>
                </c:pt>
                <c:pt idx="1">
                  <c:v>International Journal of Advanced Manufacturing Technology</c:v>
                </c:pt>
                <c:pt idx="2">
                  <c:v>Journal of Engineering, Design and Technology</c:v>
                </c:pt>
                <c:pt idx="3">
                  <c:v>Ecological indicators</c:v>
                </c:pt>
                <c:pt idx="4">
                  <c:v>Business Strategy and the Environment</c:v>
                </c:pt>
                <c:pt idx="5">
                  <c:v>Clean Technologies and Environmental Policy</c:v>
                </c:pt>
                <c:pt idx="6">
                  <c:v>International Journal of Sustainable Engineering</c:v>
                </c:pt>
                <c:pt idx="7">
                  <c:v>Supply Chain Management</c:v>
                </c:pt>
                <c:pt idx="8">
                  <c:v>Journal of Manufacturing Technology Management</c:v>
                </c:pt>
                <c:pt idx="9">
                  <c:v>Journal of Cleaner Production</c:v>
                </c:pt>
              </c:strCache>
            </c:strRef>
          </c:cat>
          <c:val>
            <c:numRef>
              <c:f>'SOURCE ANALYSIS-FULL TEXT '!$Y$6:$Y$15</c:f>
              <c:numCache>
                <c:formatCode>General</c:formatCode>
                <c:ptCount val="10"/>
                <c:pt idx="0">
                  <c:v>1.0</c:v>
                </c:pt>
                <c:pt idx="1">
                  <c:v>1.0</c:v>
                </c:pt>
                <c:pt idx="2">
                  <c:v>0.0</c:v>
                </c:pt>
                <c:pt idx="3">
                  <c:v>2.0</c:v>
                </c:pt>
                <c:pt idx="4">
                  <c:v>4.0</c:v>
                </c:pt>
                <c:pt idx="5">
                  <c:v>0.0</c:v>
                </c:pt>
                <c:pt idx="6">
                  <c:v>1.0</c:v>
                </c:pt>
                <c:pt idx="7">
                  <c:v>2.0</c:v>
                </c:pt>
                <c:pt idx="8">
                  <c:v>0.0</c:v>
                </c:pt>
                <c:pt idx="9">
                  <c:v>19.0</c:v>
                </c:pt>
              </c:numCache>
            </c:numRef>
          </c:val>
        </c:ser>
        <c:ser>
          <c:idx val="3"/>
          <c:order val="3"/>
          <c:tx>
            <c:v>Metalevel</c:v>
          </c:tx>
          <c:spPr>
            <a:solidFill>
              <a:schemeClr val="tx1"/>
            </a:solidFill>
          </c:spPr>
          <c:invertIfNegative val="0"/>
          <c:cat>
            <c:strRef>
              <c:f>'SOURCE ANALYSIS-FULL TEXT '!$V$6:$V$15</c:f>
              <c:strCache>
                <c:ptCount val="10"/>
                <c:pt idx="0">
                  <c:v>Benchmarking</c:v>
                </c:pt>
                <c:pt idx="1">
                  <c:v>International Journal of Advanced Manufacturing Technology</c:v>
                </c:pt>
                <c:pt idx="2">
                  <c:v>Journal of Engineering, Design and Technology</c:v>
                </c:pt>
                <c:pt idx="3">
                  <c:v>Ecological indicators</c:v>
                </c:pt>
                <c:pt idx="4">
                  <c:v>Business Strategy and the Environment</c:v>
                </c:pt>
                <c:pt idx="5">
                  <c:v>Clean Technologies and Environmental Policy</c:v>
                </c:pt>
                <c:pt idx="6">
                  <c:v>International Journal of Sustainable Engineering</c:v>
                </c:pt>
                <c:pt idx="7">
                  <c:v>Supply Chain Management</c:v>
                </c:pt>
                <c:pt idx="8">
                  <c:v>Journal of Manufacturing Technology Management</c:v>
                </c:pt>
                <c:pt idx="9">
                  <c:v>Journal of Cleaner Production</c:v>
                </c:pt>
              </c:strCache>
            </c:strRef>
          </c:cat>
          <c:val>
            <c:numRef>
              <c:f>'SOURCE ANALYSIS-FULL TEXT '!$Z$6:$Z$15</c:f>
              <c:numCache>
                <c:formatCode>General</c:formatCode>
                <c:ptCount val="1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1.0</c:v>
                </c:pt>
                <c:pt idx="5">
                  <c:v>0.0</c:v>
                </c:pt>
                <c:pt idx="6">
                  <c:v>2.0</c:v>
                </c:pt>
                <c:pt idx="7">
                  <c:v>0.0</c:v>
                </c:pt>
                <c:pt idx="8">
                  <c:v>0.0</c:v>
                </c:pt>
                <c:pt idx="9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3996960"/>
        <c:axId val="-153993696"/>
      </c:barChart>
      <c:catAx>
        <c:axId val="-15399696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Mohave"/>
                <a:cs typeface="Mohave"/>
              </a:defRPr>
            </a:pPr>
            <a:endParaRPr lang="en-US"/>
          </a:p>
        </c:txPr>
        <c:crossAx val="-153993696"/>
        <c:crosses val="autoZero"/>
        <c:auto val="1"/>
        <c:lblAlgn val="ctr"/>
        <c:lblOffset val="100"/>
        <c:noMultiLvlLbl val="0"/>
      </c:catAx>
      <c:valAx>
        <c:axId val="-1539936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Mohave"/>
                <a:cs typeface="Mohave"/>
              </a:defRPr>
            </a:pPr>
            <a:endParaRPr lang="en-US"/>
          </a:p>
        </c:txPr>
        <c:crossAx val="-153996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314670049682"/>
          <c:y val="0.485343394575678"/>
          <c:w val="0.144014401440144"/>
          <c:h val="0.331481481481481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>
              <a:latin typeface="Mohave"/>
              <a:cs typeface="Mohave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92937</xdr:colOff>
      <xdr:row>15</xdr:row>
      <xdr:rowOff>80693</xdr:rowOff>
    </xdr:from>
    <xdr:to>
      <xdr:col>24</xdr:col>
      <xdr:colOff>516271</xdr:colOff>
      <xdr:row>29</xdr:row>
      <xdr:rowOff>51718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368301</xdr:colOff>
      <xdr:row>14</xdr:row>
      <xdr:rowOff>55033</xdr:rowOff>
    </xdr:from>
    <xdr:to>
      <xdr:col>19</xdr:col>
      <xdr:colOff>25401</xdr:colOff>
      <xdr:row>28</xdr:row>
      <xdr:rowOff>101600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372535</xdr:colOff>
      <xdr:row>1</xdr:row>
      <xdr:rowOff>12700</xdr:rowOff>
    </xdr:from>
    <xdr:to>
      <xdr:col>19</xdr:col>
      <xdr:colOff>12701</xdr:colOff>
      <xdr:row>14</xdr:row>
      <xdr:rowOff>12700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359833</xdr:colOff>
      <xdr:row>28</xdr:row>
      <xdr:rowOff>143933</xdr:rowOff>
    </xdr:from>
    <xdr:to>
      <xdr:col>19</xdr:col>
      <xdr:colOff>38100</xdr:colOff>
      <xdr:row>41</xdr:row>
      <xdr:rowOff>126999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567267</xdr:colOff>
      <xdr:row>17</xdr:row>
      <xdr:rowOff>143933</xdr:rowOff>
    </xdr:from>
    <xdr:to>
      <xdr:col>18</xdr:col>
      <xdr:colOff>622300</xdr:colOff>
      <xdr:row>34</xdr:row>
      <xdr:rowOff>194733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208280</xdr:colOff>
      <xdr:row>4</xdr:row>
      <xdr:rowOff>0</xdr:rowOff>
    </xdr:from>
    <xdr:to>
      <xdr:col>33</xdr:col>
      <xdr:colOff>91440</xdr:colOff>
      <xdr:row>17</xdr:row>
      <xdr:rowOff>101600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K48"/>
  <sheetViews>
    <sheetView topLeftCell="A13" workbookViewId="0">
      <selection activeCell="AC8" sqref="AC1:AQ1048576"/>
    </sheetView>
  </sheetViews>
  <sheetFormatPr baseColWidth="10" defaultRowHeight="16" x14ac:dyDescent="0.2"/>
  <cols>
    <col min="1" max="1" width="4.6640625" customWidth="1"/>
    <col min="3" max="3" width="13" customWidth="1"/>
    <col min="4" max="4" width="10.83203125" customWidth="1"/>
    <col min="5" max="5" width="10.6640625" customWidth="1"/>
    <col min="6" max="6" width="19.5" style="1" customWidth="1"/>
    <col min="7" max="7" width="10.83203125" customWidth="1"/>
    <col min="8" max="8" width="16.1640625" customWidth="1"/>
  </cols>
  <sheetData>
    <row r="1" spans="2:11" s="2" customFormat="1" x14ac:dyDescent="0.2">
      <c r="F1" s="3"/>
    </row>
    <row r="2" spans="2:11" s="2" customFormat="1" ht="31" thickBot="1" x14ac:dyDescent="0.25">
      <c r="B2" s="24" t="s">
        <v>145</v>
      </c>
      <c r="F2" s="3"/>
    </row>
    <row r="3" spans="2:11" s="2" customFormat="1" ht="18" x14ac:dyDescent="0.2">
      <c r="B3" s="63"/>
      <c r="F3" s="3"/>
    </row>
    <row r="4" spans="2:11" s="2" customFormat="1" ht="24" customHeight="1" x14ac:dyDescent="0.2">
      <c r="B4" s="21"/>
      <c r="F4" s="3"/>
    </row>
    <row r="5" spans="2:11" s="2" customFormat="1" ht="17" thickBot="1" x14ac:dyDescent="0.25">
      <c r="B5" s="26" t="s">
        <v>146</v>
      </c>
      <c r="C5" s="134" t="s">
        <v>147</v>
      </c>
      <c r="D5" s="135"/>
      <c r="E5" s="136"/>
      <c r="F5" s="3"/>
      <c r="G5" s="64" t="s">
        <v>42</v>
      </c>
      <c r="H5" s="27" t="s">
        <v>43</v>
      </c>
      <c r="I5" s="27" t="s">
        <v>44</v>
      </c>
      <c r="J5" s="28" t="s">
        <v>45</v>
      </c>
      <c r="K5" s="29" t="s">
        <v>46</v>
      </c>
    </row>
    <row r="6" spans="2:11" s="2" customFormat="1" ht="17" thickBot="1" x14ac:dyDescent="0.25">
      <c r="B6" s="26" t="s">
        <v>37</v>
      </c>
      <c r="C6" s="5" t="s">
        <v>150</v>
      </c>
      <c r="D6" s="5" t="s">
        <v>151</v>
      </c>
      <c r="E6" s="5" t="s">
        <v>152</v>
      </c>
      <c r="G6" s="65"/>
      <c r="H6" s="22"/>
      <c r="I6" s="22"/>
      <c r="J6" s="23" t="s">
        <v>47</v>
      </c>
      <c r="K6" s="30" t="s">
        <v>48</v>
      </c>
    </row>
    <row r="7" spans="2:11" s="2" customFormat="1" ht="17" thickBot="1" x14ac:dyDescent="0.25">
      <c r="B7" s="26" t="s">
        <v>38</v>
      </c>
      <c r="C7" s="5" t="s">
        <v>153</v>
      </c>
      <c r="D7" s="5" t="s">
        <v>154</v>
      </c>
      <c r="E7" s="5" t="s">
        <v>155</v>
      </c>
      <c r="G7" s="65"/>
      <c r="H7" s="22"/>
      <c r="I7" s="22"/>
      <c r="J7" s="23" t="s">
        <v>49</v>
      </c>
      <c r="K7" s="30" t="s">
        <v>50</v>
      </c>
    </row>
    <row r="8" spans="2:11" s="2" customFormat="1" ht="17" thickBot="1" x14ac:dyDescent="0.25">
      <c r="B8" s="26" t="s">
        <v>39</v>
      </c>
      <c r="C8" s="134" t="s">
        <v>148</v>
      </c>
      <c r="D8" s="135"/>
      <c r="E8" s="136"/>
      <c r="G8" s="65"/>
      <c r="H8" s="22"/>
      <c r="I8" s="22"/>
      <c r="J8" s="23" t="s">
        <v>51</v>
      </c>
      <c r="K8" s="30" t="s">
        <v>52</v>
      </c>
    </row>
    <row r="9" spans="2:11" s="2" customFormat="1" ht="17" thickBot="1" x14ac:dyDescent="0.25">
      <c r="B9" s="26" t="s">
        <v>40</v>
      </c>
      <c r="C9" s="134" t="s">
        <v>41</v>
      </c>
      <c r="D9" s="135"/>
      <c r="E9" s="136"/>
      <c r="G9" s="65"/>
      <c r="H9" s="31"/>
      <c r="I9" s="31"/>
      <c r="J9" s="31"/>
      <c r="K9" s="32" t="s">
        <v>53</v>
      </c>
    </row>
    <row r="10" spans="2:11" s="2" customFormat="1" x14ac:dyDescent="0.2">
      <c r="F10" s="85">
        <v>42762</v>
      </c>
      <c r="G10" s="3"/>
    </row>
    <row r="11" spans="2:11" s="2" customFormat="1" x14ac:dyDescent="0.2">
      <c r="B11" s="137" t="s">
        <v>54</v>
      </c>
      <c r="C11" s="138"/>
      <c r="D11" s="138"/>
      <c r="E11" s="138"/>
      <c r="F11" s="3">
        <v>14881</v>
      </c>
      <c r="I11" s="25" t="s">
        <v>55</v>
      </c>
    </row>
    <row r="12" spans="2:11" s="2" customFormat="1" x14ac:dyDescent="0.2">
      <c r="F12" s="3"/>
      <c r="I12" s="25"/>
    </row>
    <row r="13" spans="2:11" s="2" customFormat="1" ht="17" thickBot="1" x14ac:dyDescent="0.25">
      <c r="B13" s="4" t="s">
        <v>43</v>
      </c>
      <c r="C13" s="4" t="s">
        <v>44</v>
      </c>
      <c r="D13" s="5" t="s">
        <v>45</v>
      </c>
      <c r="F13" s="3">
        <v>2763</v>
      </c>
      <c r="I13" s="25" t="s">
        <v>56</v>
      </c>
    </row>
    <row r="14" spans="2:11" s="2" customFormat="1" ht="17" thickBot="1" x14ac:dyDescent="0.25">
      <c r="B14" s="4" t="s">
        <v>43</v>
      </c>
      <c r="C14" s="4" t="s">
        <v>44</v>
      </c>
      <c r="D14" s="5" t="s">
        <v>45</v>
      </c>
      <c r="E14" s="6" t="s">
        <v>46</v>
      </c>
      <c r="F14" s="3">
        <v>1093</v>
      </c>
      <c r="I14" s="25" t="s">
        <v>57</v>
      </c>
    </row>
    <row r="15" spans="2:11" s="2" customFormat="1" ht="17" thickBot="1" x14ac:dyDescent="0.25">
      <c r="B15" s="4" t="s">
        <v>43</v>
      </c>
      <c r="C15" s="4" t="s">
        <v>44</v>
      </c>
      <c r="D15" s="5" t="s">
        <v>45</v>
      </c>
      <c r="E15" s="6" t="s">
        <v>48</v>
      </c>
      <c r="F15" s="3">
        <v>897</v>
      </c>
      <c r="I15" s="25" t="s">
        <v>58</v>
      </c>
    </row>
    <row r="16" spans="2:11" s="2" customFormat="1" ht="17" thickBot="1" x14ac:dyDescent="0.25">
      <c r="B16" s="4" t="s">
        <v>43</v>
      </c>
      <c r="C16" s="4" t="s">
        <v>44</v>
      </c>
      <c r="D16" s="5" t="s">
        <v>45</v>
      </c>
      <c r="E16" s="6" t="s">
        <v>50</v>
      </c>
      <c r="F16" s="3">
        <v>411</v>
      </c>
      <c r="I16" s="25" t="s">
        <v>59</v>
      </c>
    </row>
    <row r="17" spans="2:9" s="2" customFormat="1" ht="17" thickBot="1" x14ac:dyDescent="0.25">
      <c r="B17" s="4" t="s">
        <v>43</v>
      </c>
      <c r="C17" s="4" t="s">
        <v>44</v>
      </c>
      <c r="D17" s="5" t="s">
        <v>45</v>
      </c>
      <c r="E17" s="6" t="s">
        <v>52</v>
      </c>
      <c r="F17" s="3">
        <v>1044</v>
      </c>
      <c r="I17" s="25" t="s">
        <v>60</v>
      </c>
    </row>
    <row r="18" spans="2:9" s="2" customFormat="1" ht="17" thickBot="1" x14ac:dyDescent="0.25">
      <c r="B18" s="4" t="s">
        <v>43</v>
      </c>
      <c r="C18" s="4" t="s">
        <v>44</v>
      </c>
      <c r="D18" s="5" t="s">
        <v>45</v>
      </c>
      <c r="E18" s="6" t="s">
        <v>53</v>
      </c>
      <c r="F18" s="3">
        <v>573</v>
      </c>
      <c r="I18" s="25" t="s">
        <v>61</v>
      </c>
    </row>
    <row r="19" spans="2:9" s="2" customFormat="1" x14ac:dyDescent="0.2">
      <c r="F19" s="3"/>
      <c r="I19" s="25"/>
    </row>
    <row r="20" spans="2:9" s="2" customFormat="1" ht="17" thickBot="1" x14ac:dyDescent="0.25">
      <c r="B20" s="4" t="s">
        <v>43</v>
      </c>
      <c r="C20" s="4" t="s">
        <v>44</v>
      </c>
      <c r="D20" s="5" t="s">
        <v>47</v>
      </c>
      <c r="F20" s="3">
        <v>8313</v>
      </c>
      <c r="I20" s="25" t="s">
        <v>62</v>
      </c>
    </row>
    <row r="21" spans="2:9" s="2" customFormat="1" ht="17" thickBot="1" x14ac:dyDescent="0.25">
      <c r="B21" s="4" t="s">
        <v>43</v>
      </c>
      <c r="C21" s="4" t="s">
        <v>44</v>
      </c>
      <c r="D21" s="5" t="s">
        <v>47</v>
      </c>
      <c r="E21" s="6" t="s">
        <v>46</v>
      </c>
      <c r="F21" s="3">
        <v>3006</v>
      </c>
      <c r="I21" s="25" t="s">
        <v>63</v>
      </c>
    </row>
    <row r="22" spans="2:9" s="2" customFormat="1" ht="17" thickBot="1" x14ac:dyDescent="0.25">
      <c r="B22" s="4" t="s">
        <v>43</v>
      </c>
      <c r="C22" s="4" t="s">
        <v>44</v>
      </c>
      <c r="D22" s="5" t="s">
        <v>47</v>
      </c>
      <c r="E22" s="6" t="s">
        <v>48</v>
      </c>
      <c r="F22" s="3">
        <v>1315</v>
      </c>
      <c r="I22" s="25" t="s">
        <v>64</v>
      </c>
    </row>
    <row r="23" spans="2:9" s="2" customFormat="1" ht="17" thickBot="1" x14ac:dyDescent="0.25">
      <c r="B23" s="4" t="s">
        <v>43</v>
      </c>
      <c r="C23" s="4" t="s">
        <v>44</v>
      </c>
      <c r="D23" s="5" t="s">
        <v>47</v>
      </c>
      <c r="E23" s="6" t="s">
        <v>50</v>
      </c>
      <c r="F23" s="3">
        <v>1026</v>
      </c>
      <c r="I23" s="25" t="s">
        <v>65</v>
      </c>
    </row>
    <row r="24" spans="2:9" s="2" customFormat="1" ht="17" thickBot="1" x14ac:dyDescent="0.25">
      <c r="B24" s="4" t="s">
        <v>43</v>
      </c>
      <c r="C24" s="4" t="s">
        <v>44</v>
      </c>
      <c r="D24" s="5" t="s">
        <v>47</v>
      </c>
      <c r="E24" s="6" t="s">
        <v>52</v>
      </c>
      <c r="F24" s="3">
        <v>2336</v>
      </c>
      <c r="I24" s="25" t="s">
        <v>66</v>
      </c>
    </row>
    <row r="25" spans="2:9" s="2" customFormat="1" ht="17" thickBot="1" x14ac:dyDescent="0.25">
      <c r="B25" s="4" t="s">
        <v>43</v>
      </c>
      <c r="C25" s="4" t="s">
        <v>44</v>
      </c>
      <c r="D25" s="5" t="s">
        <v>47</v>
      </c>
      <c r="E25" s="6" t="s">
        <v>53</v>
      </c>
      <c r="F25" s="3">
        <v>1377</v>
      </c>
      <c r="I25" s="25" t="s">
        <v>67</v>
      </c>
    </row>
    <row r="26" spans="2:9" s="2" customFormat="1" x14ac:dyDescent="0.2">
      <c r="F26" s="3"/>
      <c r="I26" s="25"/>
    </row>
    <row r="27" spans="2:9" s="2" customFormat="1" ht="17" thickBot="1" x14ac:dyDescent="0.25">
      <c r="B27" s="4" t="s">
        <v>43</v>
      </c>
      <c r="C27" s="4" t="s">
        <v>44</v>
      </c>
      <c r="D27" s="5" t="s">
        <v>49</v>
      </c>
      <c r="F27" s="3">
        <v>17882</v>
      </c>
      <c r="I27" s="25" t="s">
        <v>68</v>
      </c>
    </row>
    <row r="28" spans="2:9" s="2" customFormat="1" ht="17" thickBot="1" x14ac:dyDescent="0.25">
      <c r="B28" s="4" t="s">
        <v>43</v>
      </c>
      <c r="C28" s="4" t="s">
        <v>44</v>
      </c>
      <c r="D28" s="5" t="s">
        <v>49</v>
      </c>
      <c r="E28" s="6" t="s">
        <v>46</v>
      </c>
      <c r="F28" s="3">
        <v>6655</v>
      </c>
      <c r="I28" s="25" t="s">
        <v>69</v>
      </c>
    </row>
    <row r="29" spans="2:9" s="2" customFormat="1" ht="17" thickBot="1" x14ac:dyDescent="0.25">
      <c r="B29" s="4" t="s">
        <v>43</v>
      </c>
      <c r="C29" s="4" t="s">
        <v>44</v>
      </c>
      <c r="D29" s="5" t="s">
        <v>49</v>
      </c>
      <c r="E29" s="6" t="s">
        <v>48</v>
      </c>
      <c r="F29" s="3">
        <v>2957</v>
      </c>
      <c r="I29" s="25" t="s">
        <v>70</v>
      </c>
    </row>
    <row r="30" spans="2:9" s="2" customFormat="1" ht="17" thickBot="1" x14ac:dyDescent="0.25">
      <c r="B30" s="4" t="s">
        <v>43</v>
      </c>
      <c r="C30" s="4" t="s">
        <v>44</v>
      </c>
      <c r="D30" s="5" t="s">
        <v>49</v>
      </c>
      <c r="E30" s="6" t="s">
        <v>50</v>
      </c>
      <c r="F30" s="3">
        <v>1610</v>
      </c>
      <c r="I30" s="25" t="s">
        <v>71</v>
      </c>
    </row>
    <row r="31" spans="2:9" s="2" customFormat="1" ht="17" thickBot="1" x14ac:dyDescent="0.25">
      <c r="B31" s="4" t="s">
        <v>43</v>
      </c>
      <c r="C31" s="4" t="s">
        <v>44</v>
      </c>
      <c r="D31" s="5" t="s">
        <v>49</v>
      </c>
      <c r="E31" s="6" t="s">
        <v>52</v>
      </c>
      <c r="F31" s="3">
        <v>5922</v>
      </c>
      <c r="I31" s="25" t="s">
        <v>72</v>
      </c>
    </row>
    <row r="32" spans="2:9" s="2" customFormat="1" ht="17" thickBot="1" x14ac:dyDescent="0.25">
      <c r="B32" s="4" t="s">
        <v>43</v>
      </c>
      <c r="C32" s="4" t="s">
        <v>44</v>
      </c>
      <c r="D32" s="5" t="s">
        <v>49</v>
      </c>
      <c r="E32" s="6" t="s">
        <v>53</v>
      </c>
      <c r="F32" s="3">
        <v>2613</v>
      </c>
      <c r="I32" s="25" t="s">
        <v>73</v>
      </c>
    </row>
    <row r="33" spans="1:9" s="2" customFormat="1" x14ac:dyDescent="0.2">
      <c r="F33" s="3"/>
      <c r="I33" s="25"/>
    </row>
    <row r="34" spans="1:9" s="2" customFormat="1" ht="17" thickBot="1" x14ac:dyDescent="0.25">
      <c r="B34" s="4" t="s">
        <v>43</v>
      </c>
      <c r="C34" s="4" t="s">
        <v>44</v>
      </c>
      <c r="D34" s="5" t="s">
        <v>51</v>
      </c>
      <c r="F34" s="3">
        <v>1729</v>
      </c>
      <c r="I34" s="25" t="s">
        <v>74</v>
      </c>
    </row>
    <row r="35" spans="1:9" s="2" customFormat="1" ht="17" thickBot="1" x14ac:dyDescent="0.25">
      <c r="B35" s="4" t="s">
        <v>43</v>
      </c>
      <c r="C35" s="4" t="s">
        <v>44</v>
      </c>
      <c r="D35" s="5" t="s">
        <v>51</v>
      </c>
      <c r="E35" s="6" t="s">
        <v>46</v>
      </c>
      <c r="F35" s="3">
        <v>757</v>
      </c>
      <c r="I35" s="25" t="s">
        <v>75</v>
      </c>
    </row>
    <row r="36" spans="1:9" s="2" customFormat="1" ht="17" thickBot="1" x14ac:dyDescent="0.25">
      <c r="B36" s="4" t="s">
        <v>43</v>
      </c>
      <c r="C36" s="4" t="s">
        <v>44</v>
      </c>
      <c r="D36" s="5" t="s">
        <v>51</v>
      </c>
      <c r="E36" s="6" t="s">
        <v>48</v>
      </c>
      <c r="F36" s="3">
        <v>494</v>
      </c>
      <c r="I36" s="25" t="s">
        <v>76</v>
      </c>
    </row>
    <row r="37" spans="1:9" s="2" customFormat="1" ht="17" thickBot="1" x14ac:dyDescent="0.25">
      <c r="B37" s="4" t="s">
        <v>43</v>
      </c>
      <c r="C37" s="4" t="s">
        <v>44</v>
      </c>
      <c r="D37" s="5" t="s">
        <v>51</v>
      </c>
      <c r="E37" s="6" t="s">
        <v>50</v>
      </c>
      <c r="F37" s="3">
        <v>136</v>
      </c>
      <c r="I37" s="25" t="s">
        <v>77</v>
      </c>
    </row>
    <row r="38" spans="1:9" s="2" customFormat="1" ht="17" thickBot="1" x14ac:dyDescent="0.25">
      <c r="B38" s="4" t="s">
        <v>43</v>
      </c>
      <c r="C38" s="4" t="s">
        <v>44</v>
      </c>
      <c r="D38" s="5" t="s">
        <v>51</v>
      </c>
      <c r="E38" s="6" t="s">
        <v>52</v>
      </c>
      <c r="F38" s="3">
        <v>785</v>
      </c>
      <c r="I38" s="25" t="s">
        <v>78</v>
      </c>
    </row>
    <row r="39" spans="1:9" s="2" customFormat="1" ht="17" thickBot="1" x14ac:dyDescent="0.25">
      <c r="B39" s="4" t="s">
        <v>43</v>
      </c>
      <c r="C39" s="4" t="s">
        <v>44</v>
      </c>
      <c r="D39" s="5" t="s">
        <v>51</v>
      </c>
      <c r="E39" s="6" t="s">
        <v>53</v>
      </c>
      <c r="F39" s="3">
        <v>220</v>
      </c>
      <c r="I39" s="25" t="s">
        <v>79</v>
      </c>
    </row>
    <row r="40" spans="1:9" s="2" customFormat="1" x14ac:dyDescent="0.2">
      <c r="F40" s="3"/>
    </row>
    <row r="41" spans="1:9" s="2" customFormat="1" x14ac:dyDescent="0.2">
      <c r="F41" s="3"/>
    </row>
    <row r="42" spans="1:9" s="2" customFormat="1" x14ac:dyDescent="0.2">
      <c r="B42" s="133" t="s">
        <v>291</v>
      </c>
      <c r="C42" s="133"/>
      <c r="D42" s="133"/>
      <c r="E42" s="133"/>
      <c r="F42" s="133"/>
    </row>
    <row r="43" spans="1:9" s="2" customFormat="1" x14ac:dyDescent="0.2">
      <c r="B43" s="137" t="s">
        <v>156</v>
      </c>
      <c r="C43" s="138"/>
      <c r="D43" s="138"/>
      <c r="E43" s="138"/>
      <c r="F43" s="3">
        <v>193</v>
      </c>
    </row>
    <row r="44" spans="1:9" s="2" customFormat="1" x14ac:dyDescent="0.2">
      <c r="B44" s="139" t="s">
        <v>136</v>
      </c>
      <c r="C44" s="140"/>
      <c r="D44" s="140"/>
      <c r="E44" s="140"/>
      <c r="F44" s="7">
        <f>F43/F11</f>
        <v>1.2969558497412808E-2</v>
      </c>
    </row>
    <row r="45" spans="1:9" x14ac:dyDescent="0.2">
      <c r="A45" s="144"/>
      <c r="B45" s="145"/>
      <c r="C45" s="144"/>
    </row>
    <row r="46" spans="1:9" x14ac:dyDescent="0.2">
      <c r="A46" s="144"/>
      <c r="B46" s="145"/>
      <c r="C46" s="144"/>
    </row>
    <row r="47" spans="1:9" x14ac:dyDescent="0.2">
      <c r="A47" s="144"/>
      <c r="B47" s="144"/>
      <c r="C47" s="144"/>
    </row>
    <row r="48" spans="1:9" x14ac:dyDescent="0.2">
      <c r="A48" s="144"/>
      <c r="B48" s="144"/>
      <c r="C48" s="144"/>
    </row>
  </sheetData>
  <mergeCells count="7">
    <mergeCell ref="C5:E5"/>
    <mergeCell ref="B43:E43"/>
    <mergeCell ref="B44:E44"/>
    <mergeCell ref="B11:E11"/>
    <mergeCell ref="C8:E8"/>
    <mergeCell ref="C9:E9"/>
    <mergeCell ref="B42:F42"/>
  </mergeCells>
  <conditionalFormatting sqref="F13:F18">
    <cfRule type="dataBar" priority="24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{2180A4E8-E997-3C4D-9098-243E5C09F76C}</x14:id>
        </ext>
      </extLst>
    </cfRule>
  </conditionalFormatting>
  <conditionalFormatting sqref="F20:F25">
    <cfRule type="dataBar" priority="23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{6350875C-AE15-D642-8C59-B6A2E27210C4}</x14:id>
        </ext>
      </extLst>
    </cfRule>
  </conditionalFormatting>
  <conditionalFormatting sqref="F27:F32">
    <cfRule type="dataBar" priority="23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{C4D1BF57-827C-384D-8471-DFD91A415220}</x14:id>
        </ext>
      </extLst>
    </cfRule>
  </conditionalFormatting>
  <conditionalFormatting sqref="F34:F39">
    <cfRule type="dataBar" priority="23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{C0ED12F4-F9EA-5D4E-80D4-24C8B860C48C}</x14:id>
        </ext>
      </extLst>
    </cfRule>
  </conditionalFormatting>
  <conditionalFormatting sqref="F13:F39">
    <cfRule type="dataBar" priority="23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{1512A339-192A-504A-BC98-A8FD90A57121}</x14:id>
        </ext>
      </extLst>
    </cfRule>
  </conditionalFormatting>
  <conditionalFormatting sqref="F11:F39">
    <cfRule type="dataBar" priority="24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{E7EB82A5-7135-E142-B4FC-A1B7AED71104}</x14:id>
        </ext>
      </extLst>
    </cfRule>
  </conditionalFormatting>
  <conditionalFormatting sqref="B45:B46">
    <cfRule type="containsText" dxfId="1164" priority="197" operator="containsText" text="Operational">
      <formula>NOT(ISERROR(SEARCH("Operational",B45)))</formula>
    </cfRule>
    <cfRule type="containsText" dxfId="1163" priority="198" operator="containsText" text="Tactical">
      <formula>NOT(ISERROR(SEARCH("Tactical",B45)))</formula>
    </cfRule>
    <cfRule type="cellIs" dxfId="1162" priority="199" operator="equal">
      <formula>"Strategic"</formula>
    </cfRule>
  </conditionalFormatting>
  <pageMargins left="0.7" right="0.7" top="0.75" bottom="0.75" header="0.5" footer="0.5"/>
  <pageSetup paperSize="9"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180A4E8-E997-3C4D-9098-243E5C09F76C}">
            <x14:dataBar minLength="0" maxLength="100" negativeBarColorSameAsPositive="1" axisPosition="none">
              <x14:cfvo type="min"/>
              <x14:cfvo type="max"/>
            </x14:dataBar>
          </x14:cfRule>
          <xm:sqref>F13:F18</xm:sqref>
        </x14:conditionalFormatting>
        <x14:conditionalFormatting xmlns:xm="http://schemas.microsoft.com/office/excel/2006/main">
          <x14:cfRule type="dataBar" id="{6350875C-AE15-D642-8C59-B6A2E27210C4}">
            <x14:dataBar minLength="0" maxLength="100" negativeBarColorSameAsPositive="1" axisPosition="none">
              <x14:cfvo type="min"/>
              <x14:cfvo type="max"/>
            </x14:dataBar>
          </x14:cfRule>
          <xm:sqref>F20:F25</xm:sqref>
        </x14:conditionalFormatting>
        <x14:conditionalFormatting xmlns:xm="http://schemas.microsoft.com/office/excel/2006/main">
          <x14:cfRule type="dataBar" id="{C4D1BF57-827C-384D-8471-DFD91A415220}">
            <x14:dataBar minLength="0" maxLength="100" negativeBarColorSameAsPositive="1" axisPosition="none">
              <x14:cfvo type="min"/>
              <x14:cfvo type="max"/>
            </x14:dataBar>
          </x14:cfRule>
          <xm:sqref>F27:F32</xm:sqref>
        </x14:conditionalFormatting>
        <x14:conditionalFormatting xmlns:xm="http://schemas.microsoft.com/office/excel/2006/main">
          <x14:cfRule type="dataBar" id="{C0ED12F4-F9EA-5D4E-80D4-24C8B860C48C}">
            <x14:dataBar minLength="0" maxLength="100" negativeBarColorSameAsPositive="1" axisPosition="none">
              <x14:cfvo type="min"/>
              <x14:cfvo type="max"/>
            </x14:dataBar>
          </x14:cfRule>
          <xm:sqref>F34:F39</xm:sqref>
        </x14:conditionalFormatting>
        <x14:conditionalFormatting xmlns:xm="http://schemas.microsoft.com/office/excel/2006/main">
          <x14:cfRule type="dataBar" id="{1512A339-192A-504A-BC98-A8FD90A57121}">
            <x14:dataBar minLength="0" maxLength="100" negativeBarColorSameAsPositive="1" axisPosition="none">
              <x14:cfvo type="min"/>
              <x14:cfvo type="max"/>
            </x14:dataBar>
          </x14:cfRule>
          <xm:sqref>F13:F39</xm:sqref>
        </x14:conditionalFormatting>
        <x14:conditionalFormatting xmlns:xm="http://schemas.microsoft.com/office/excel/2006/main">
          <x14:cfRule type="dataBar" id="{E7EB82A5-7135-E142-B4FC-A1B7AED71104}">
            <x14:dataBar minLength="0" maxLength="100" negativeBarColorSameAsPositive="1" axisPosition="none">
              <x14:cfvo type="min"/>
              <x14:cfvo type="max"/>
            </x14:dataBar>
          </x14:cfRule>
          <xm:sqref>F11:F39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-0.249977111117893"/>
  </sheetPr>
  <dimension ref="A1:ET198"/>
  <sheetViews>
    <sheetView topLeftCell="A3" zoomScale="72" zoomScaleNormal="72" zoomScalePageLayoutView="72" workbookViewId="0">
      <selection activeCell="B198" sqref="B198"/>
    </sheetView>
  </sheetViews>
  <sheetFormatPr baseColWidth="10" defaultRowHeight="16" x14ac:dyDescent="0.2"/>
  <cols>
    <col min="1" max="1" width="6.5" style="3" customWidth="1"/>
    <col min="2" max="2" width="83.83203125" style="1" customWidth="1"/>
    <col min="3" max="3" width="6.6640625" style="20" customWidth="1"/>
    <col min="4" max="4" width="15.5" style="20" customWidth="1"/>
    <col min="5" max="7" width="16.1640625" style="20" customWidth="1"/>
    <col min="8" max="8" width="16.1640625" style="17" customWidth="1"/>
    <col min="9" max="10" width="21.33203125" style="17" customWidth="1"/>
    <col min="11" max="11" width="196.33203125" style="3" customWidth="1"/>
    <col min="12" max="148" width="10.83203125" style="3"/>
    <col min="149" max="16384" width="10.83203125" style="1"/>
  </cols>
  <sheetData>
    <row r="1" spans="1:150" s="3" customFormat="1" x14ac:dyDescent="0.2">
      <c r="C1" s="19"/>
      <c r="D1" s="19"/>
      <c r="E1" s="19"/>
      <c r="F1" s="19"/>
      <c r="G1" s="19"/>
      <c r="H1" s="57"/>
      <c r="I1" s="17"/>
      <c r="J1" s="17"/>
    </row>
    <row r="2" spans="1:150" s="15" customFormat="1" ht="28" x14ac:dyDescent="0.3">
      <c r="B2" s="16" t="s">
        <v>485</v>
      </c>
      <c r="C2" s="17"/>
      <c r="D2" s="17"/>
      <c r="E2" s="53"/>
      <c r="F2" s="53"/>
      <c r="G2" s="53"/>
      <c r="H2" s="62"/>
      <c r="I2" s="19">
        <v>2017</v>
      </c>
      <c r="J2" s="17"/>
    </row>
    <row r="3" spans="1:150" s="15" customFormat="1" ht="16" customHeight="1" x14ac:dyDescent="0.2">
      <c r="C3" s="17"/>
      <c r="D3" s="17"/>
      <c r="E3" s="17"/>
      <c r="F3" s="17" t="s">
        <v>410</v>
      </c>
      <c r="G3" s="17"/>
      <c r="H3" s="17"/>
      <c r="I3" s="77">
        <v>42765</v>
      </c>
      <c r="J3" s="17"/>
      <c r="K3" s="9"/>
    </row>
    <row r="4" spans="1:150" ht="36" customHeight="1" thickBot="1" x14ac:dyDescent="0.25">
      <c r="B4" s="13" t="s">
        <v>143</v>
      </c>
      <c r="C4" s="13" t="s">
        <v>134</v>
      </c>
      <c r="D4" s="13" t="s">
        <v>412</v>
      </c>
      <c r="E4" s="58" t="s">
        <v>411</v>
      </c>
      <c r="F4" s="58" t="s">
        <v>162</v>
      </c>
      <c r="G4" s="58" t="s">
        <v>369</v>
      </c>
      <c r="H4" s="58" t="s">
        <v>163</v>
      </c>
      <c r="I4" s="78" t="s">
        <v>343</v>
      </c>
      <c r="J4" s="78" t="s">
        <v>167</v>
      </c>
      <c r="K4" s="14" t="s">
        <v>144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</row>
    <row r="5" spans="1:150" ht="17" thickBot="1" x14ac:dyDescent="0.25">
      <c r="B5" s="11" t="s">
        <v>28</v>
      </c>
      <c r="C5" s="61">
        <v>2012</v>
      </c>
      <c r="D5" s="12" t="s">
        <v>138</v>
      </c>
      <c r="E5" s="51" t="s">
        <v>324</v>
      </c>
      <c r="F5" s="60" t="s">
        <v>165</v>
      </c>
      <c r="G5" s="39" t="s">
        <v>364</v>
      </c>
      <c r="H5" s="50" t="s">
        <v>363</v>
      </c>
      <c r="I5" s="74">
        <v>101</v>
      </c>
      <c r="J5" s="132">
        <f>I5/(2017-C5)</f>
        <v>20.2</v>
      </c>
      <c r="K5" s="10" t="s">
        <v>207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</row>
    <row r="6" spans="1:150" ht="17" thickBot="1" x14ac:dyDescent="0.25">
      <c r="B6" s="11" t="s">
        <v>7</v>
      </c>
      <c r="C6" s="18">
        <v>2015</v>
      </c>
      <c r="D6" s="12" t="s">
        <v>139</v>
      </c>
      <c r="E6" s="73" t="s">
        <v>323</v>
      </c>
      <c r="F6" s="36" t="s">
        <v>160</v>
      </c>
      <c r="G6" s="39" t="s">
        <v>364</v>
      </c>
      <c r="H6" s="50" t="s">
        <v>363</v>
      </c>
      <c r="I6" s="19">
        <v>14</v>
      </c>
      <c r="J6" s="80">
        <f>I6/(2017-C6)</f>
        <v>7</v>
      </c>
      <c r="K6" s="101" t="s">
        <v>200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</row>
    <row r="7" spans="1:150" ht="17" thickBot="1" x14ac:dyDescent="0.25">
      <c r="B7" s="11" t="s">
        <v>15</v>
      </c>
      <c r="C7" s="18">
        <v>2007</v>
      </c>
      <c r="D7" s="12" t="s">
        <v>138</v>
      </c>
      <c r="E7" s="55" t="s">
        <v>327</v>
      </c>
      <c r="F7" s="34" t="s">
        <v>157</v>
      </c>
      <c r="G7" s="48" t="s">
        <v>368</v>
      </c>
      <c r="H7" s="51" t="s">
        <v>361</v>
      </c>
      <c r="I7" s="19">
        <v>50</v>
      </c>
      <c r="J7" s="80">
        <f>I7/(2017-C7)</f>
        <v>5</v>
      </c>
      <c r="K7" s="9" t="s">
        <v>258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</row>
    <row r="8" spans="1:150" ht="17" thickBot="1" x14ac:dyDescent="0.25">
      <c r="B8" s="11" t="s">
        <v>121</v>
      </c>
      <c r="C8" s="18">
        <v>2016</v>
      </c>
      <c r="D8" s="12" t="s">
        <v>139</v>
      </c>
      <c r="E8" s="72" t="s">
        <v>322</v>
      </c>
      <c r="F8" s="35" t="s">
        <v>158</v>
      </c>
      <c r="G8" s="39" t="s">
        <v>364</v>
      </c>
      <c r="H8" s="54" t="s">
        <v>360</v>
      </c>
      <c r="I8" s="19">
        <v>0</v>
      </c>
      <c r="J8" s="80">
        <f>I8/(2017-C8)</f>
        <v>0</v>
      </c>
      <c r="K8" s="101" t="s">
        <v>298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</row>
    <row r="9" spans="1:150" ht="17" thickBot="1" x14ac:dyDescent="0.25">
      <c r="B9" s="11" t="s">
        <v>2</v>
      </c>
      <c r="C9" s="18">
        <v>2013</v>
      </c>
      <c r="D9" s="12" t="s">
        <v>138</v>
      </c>
      <c r="E9" s="54" t="s">
        <v>326</v>
      </c>
      <c r="F9" s="36" t="s">
        <v>160</v>
      </c>
      <c r="G9" s="45" t="s">
        <v>366</v>
      </c>
      <c r="H9" s="55" t="s">
        <v>404</v>
      </c>
      <c r="I9" s="19">
        <v>63</v>
      </c>
      <c r="J9" s="80">
        <f>I9/(2017-C9)</f>
        <v>15.75</v>
      </c>
      <c r="K9" s="9" t="s">
        <v>299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</row>
    <row r="10" spans="1:150" ht="17" thickBot="1" x14ac:dyDescent="0.25">
      <c r="B10" s="11" t="s">
        <v>17</v>
      </c>
      <c r="C10" s="18">
        <v>2012</v>
      </c>
      <c r="D10" s="12" t="s">
        <v>137</v>
      </c>
      <c r="E10" s="42" t="s">
        <v>330</v>
      </c>
      <c r="F10" s="35" t="s">
        <v>158</v>
      </c>
      <c r="G10" s="44" t="s">
        <v>140</v>
      </c>
      <c r="H10" s="51" t="s">
        <v>361</v>
      </c>
      <c r="I10" s="19">
        <v>37</v>
      </c>
      <c r="J10" s="80">
        <f>I10/(2017-C10)</f>
        <v>7.4</v>
      </c>
      <c r="K10" s="9" t="s">
        <v>278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</row>
    <row r="11" spans="1:150" ht="17" thickBot="1" x14ac:dyDescent="0.25">
      <c r="B11" s="11" t="s">
        <v>107</v>
      </c>
      <c r="C11" s="18">
        <v>2011</v>
      </c>
      <c r="D11" s="12" t="s">
        <v>137</v>
      </c>
      <c r="E11" s="40" t="s">
        <v>329</v>
      </c>
      <c r="F11" s="36" t="s">
        <v>160</v>
      </c>
      <c r="G11" s="44" t="s">
        <v>140</v>
      </c>
      <c r="H11" s="51" t="s">
        <v>361</v>
      </c>
      <c r="I11" s="19">
        <v>41</v>
      </c>
      <c r="J11" s="80">
        <f>I11/(2017-C11)</f>
        <v>6.833333333333333</v>
      </c>
      <c r="K11" s="9" t="s">
        <v>264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</row>
    <row r="12" spans="1:150" s="9" customFormat="1" ht="17" thickBot="1" x14ac:dyDescent="0.25">
      <c r="A12" s="3"/>
      <c r="B12" s="11" t="s">
        <v>9</v>
      </c>
      <c r="C12" s="18">
        <v>2014</v>
      </c>
      <c r="D12" s="12" t="s">
        <v>139</v>
      </c>
      <c r="E12" s="69" t="s">
        <v>319</v>
      </c>
      <c r="F12" s="60" t="s">
        <v>165</v>
      </c>
      <c r="G12" s="39" t="s">
        <v>364</v>
      </c>
      <c r="H12" s="55" t="s">
        <v>404</v>
      </c>
      <c r="I12" s="19">
        <v>28</v>
      </c>
      <c r="J12" s="80">
        <f>I12/(2017-C12)</f>
        <v>9.3333333333333339</v>
      </c>
      <c r="K12" s="9" t="s">
        <v>184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</row>
    <row r="13" spans="1:150" ht="17" thickBot="1" x14ac:dyDescent="0.25">
      <c r="B13" s="11" t="s">
        <v>83</v>
      </c>
      <c r="C13" s="18">
        <v>2012</v>
      </c>
      <c r="D13" s="12" t="s">
        <v>139</v>
      </c>
      <c r="E13" s="70" t="s">
        <v>320</v>
      </c>
      <c r="F13" s="60" t="s">
        <v>165</v>
      </c>
      <c r="G13" s="81" t="s">
        <v>367</v>
      </c>
      <c r="H13" s="50" t="s">
        <v>363</v>
      </c>
      <c r="I13" s="19">
        <v>1</v>
      </c>
      <c r="J13" s="80">
        <f>I13/(2017-C13)</f>
        <v>0.2</v>
      </c>
      <c r="K13" s="9" t="s">
        <v>236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</row>
    <row r="14" spans="1:150" ht="17" thickBot="1" x14ac:dyDescent="0.25">
      <c r="B14" s="11" t="s">
        <v>14</v>
      </c>
      <c r="C14" s="18">
        <v>2015</v>
      </c>
      <c r="D14" s="12" t="s">
        <v>137</v>
      </c>
      <c r="E14" s="41" t="s">
        <v>328</v>
      </c>
      <c r="F14" s="36" t="s">
        <v>160</v>
      </c>
      <c r="G14" s="44" t="s">
        <v>140</v>
      </c>
      <c r="H14" s="51" t="s">
        <v>361</v>
      </c>
      <c r="I14" s="19">
        <v>3</v>
      </c>
      <c r="J14" s="80">
        <f>I14/(2017-C14)</f>
        <v>1.5</v>
      </c>
      <c r="K14" s="101" t="s">
        <v>307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</row>
    <row r="15" spans="1:150" ht="16" customHeight="1" thickBot="1" x14ac:dyDescent="0.25">
      <c r="B15" s="11" t="s">
        <v>102</v>
      </c>
      <c r="C15" s="18">
        <v>2013</v>
      </c>
      <c r="D15" s="12" t="s">
        <v>315</v>
      </c>
      <c r="E15" s="46" t="s">
        <v>317</v>
      </c>
      <c r="F15" s="36" t="s">
        <v>160</v>
      </c>
      <c r="G15" s="45" t="s">
        <v>366</v>
      </c>
      <c r="H15" s="55" t="s">
        <v>404</v>
      </c>
      <c r="I15" s="19">
        <v>6</v>
      </c>
      <c r="J15" s="80">
        <f>I15/(2017-C15)</f>
        <v>1.5</v>
      </c>
      <c r="K15" s="9" t="s">
        <v>176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</row>
    <row r="16" spans="1:150" ht="17" thickBot="1" x14ac:dyDescent="0.25">
      <c r="B16" s="11" t="s">
        <v>28</v>
      </c>
      <c r="C16" s="18">
        <v>2012</v>
      </c>
      <c r="D16" s="12" t="s">
        <v>138</v>
      </c>
      <c r="E16" s="51" t="s">
        <v>324</v>
      </c>
      <c r="F16" s="60" t="s">
        <v>165</v>
      </c>
      <c r="G16" s="39" t="s">
        <v>364</v>
      </c>
      <c r="H16" s="50" t="s">
        <v>363</v>
      </c>
      <c r="I16" s="74">
        <v>261</v>
      </c>
      <c r="J16" s="80">
        <f>I16/(2017-C16)</f>
        <v>52.2</v>
      </c>
      <c r="K16" s="9" t="s">
        <v>205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</row>
    <row r="17" spans="1:148" ht="17" thickBot="1" x14ac:dyDescent="0.25">
      <c r="B17" s="11" t="s">
        <v>81</v>
      </c>
      <c r="C17" s="18">
        <v>2011</v>
      </c>
      <c r="D17" s="12" t="s">
        <v>137</v>
      </c>
      <c r="E17" s="75" t="s">
        <v>406</v>
      </c>
      <c r="F17" s="36" t="s">
        <v>160</v>
      </c>
      <c r="G17" s="81" t="s">
        <v>367</v>
      </c>
      <c r="H17" s="50" t="s">
        <v>363</v>
      </c>
      <c r="I17" s="19">
        <v>9</v>
      </c>
      <c r="J17" s="80">
        <f>I17/(2017-C17)</f>
        <v>1.5</v>
      </c>
      <c r="K17" s="9" t="s">
        <v>250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</row>
    <row r="18" spans="1:148" ht="16" customHeight="1" thickBot="1" x14ac:dyDescent="0.25">
      <c r="B18" s="11" t="s">
        <v>32</v>
      </c>
      <c r="C18" s="18">
        <v>2013</v>
      </c>
      <c r="D18" s="12" t="s">
        <v>137</v>
      </c>
      <c r="E18" s="42" t="s">
        <v>330</v>
      </c>
      <c r="F18" s="35" t="s">
        <v>158</v>
      </c>
      <c r="G18" s="45" t="s">
        <v>366</v>
      </c>
      <c r="H18" s="50" t="s">
        <v>363</v>
      </c>
      <c r="I18" s="19">
        <v>3</v>
      </c>
      <c r="J18" s="80">
        <f>I18/(2017-C18)</f>
        <v>0.75</v>
      </c>
      <c r="K18" s="9" t="s">
        <v>303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</row>
    <row r="19" spans="1:148" ht="17" thickBot="1" x14ac:dyDescent="0.25">
      <c r="B19" s="11" t="s">
        <v>11</v>
      </c>
      <c r="C19" s="18">
        <v>2015</v>
      </c>
      <c r="D19" s="12" t="s">
        <v>137</v>
      </c>
      <c r="E19" s="42" t="s">
        <v>330</v>
      </c>
      <c r="F19" s="36" t="s">
        <v>160</v>
      </c>
      <c r="G19" s="45" t="s">
        <v>366</v>
      </c>
      <c r="H19" s="55" t="s">
        <v>404</v>
      </c>
      <c r="I19" s="19">
        <v>0</v>
      </c>
      <c r="J19" s="80">
        <f>I19/(2017-C19)</f>
        <v>0</v>
      </c>
      <c r="K19" s="9" t="s">
        <v>251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</row>
    <row r="20" spans="1:148" ht="17" thickBot="1" x14ac:dyDescent="0.25">
      <c r="B20" s="11" t="s">
        <v>28</v>
      </c>
      <c r="C20" s="18">
        <v>2012</v>
      </c>
      <c r="D20" s="12" t="s">
        <v>138</v>
      </c>
      <c r="E20" s="50" t="s">
        <v>325</v>
      </c>
      <c r="F20" s="36" t="s">
        <v>160</v>
      </c>
      <c r="G20" s="39" t="s">
        <v>364</v>
      </c>
      <c r="H20" s="50" t="s">
        <v>363</v>
      </c>
      <c r="I20" s="74">
        <v>102</v>
      </c>
      <c r="J20" s="80">
        <f>I20/(2017-C20)</f>
        <v>20.399999999999999</v>
      </c>
      <c r="K20" s="9" t="s">
        <v>240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</row>
    <row r="21" spans="1:148" ht="17" thickBot="1" x14ac:dyDescent="0.25">
      <c r="B21" s="11" t="s">
        <v>102</v>
      </c>
      <c r="C21" s="18">
        <v>2015</v>
      </c>
      <c r="D21" s="12" t="s">
        <v>137</v>
      </c>
      <c r="E21" s="41" t="s">
        <v>328</v>
      </c>
      <c r="F21" s="38" t="s">
        <v>159</v>
      </c>
      <c r="G21" s="44" t="s">
        <v>140</v>
      </c>
      <c r="H21" s="51" t="s">
        <v>361</v>
      </c>
      <c r="I21" s="19">
        <v>1</v>
      </c>
      <c r="J21" s="80">
        <f>I21/(2017-C21)</f>
        <v>0.5</v>
      </c>
      <c r="K21" s="9" t="s">
        <v>285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</row>
    <row r="22" spans="1:148" ht="17" thickBot="1" x14ac:dyDescent="0.25">
      <c r="B22" s="11" t="s">
        <v>115</v>
      </c>
      <c r="C22" s="18">
        <v>2013</v>
      </c>
      <c r="D22" s="12" t="s">
        <v>138</v>
      </c>
      <c r="E22" s="54" t="s">
        <v>326</v>
      </c>
      <c r="F22" s="59" t="s">
        <v>168</v>
      </c>
      <c r="G22" s="45" t="s">
        <v>366</v>
      </c>
      <c r="H22" s="50" t="s">
        <v>363</v>
      </c>
      <c r="I22" s="19">
        <v>0</v>
      </c>
      <c r="J22" s="80">
        <f>I22/(2017-C22)</f>
        <v>0</v>
      </c>
      <c r="K22" s="9" t="s">
        <v>293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</row>
    <row r="23" spans="1:148" ht="17" thickBot="1" x14ac:dyDescent="0.25">
      <c r="B23" s="11" t="s">
        <v>34</v>
      </c>
      <c r="C23" s="18">
        <v>2011</v>
      </c>
      <c r="D23" s="12" t="s">
        <v>138</v>
      </c>
      <c r="E23" s="50" t="s">
        <v>325</v>
      </c>
      <c r="F23" s="36" t="s">
        <v>160</v>
      </c>
      <c r="G23" s="45" t="s">
        <v>366</v>
      </c>
      <c r="H23" s="55" t="s">
        <v>404</v>
      </c>
      <c r="I23" s="19">
        <v>5</v>
      </c>
      <c r="J23" s="80">
        <f>I23/(2017-C23)</f>
        <v>0.83333333333333337</v>
      </c>
      <c r="K23" s="9" t="s">
        <v>277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</row>
    <row r="24" spans="1:148" ht="17" thickBot="1" x14ac:dyDescent="0.25">
      <c r="B24" s="11" t="s">
        <v>25</v>
      </c>
      <c r="C24" s="18">
        <v>2014</v>
      </c>
      <c r="D24" s="12" t="s">
        <v>139</v>
      </c>
      <c r="E24" s="69" t="s">
        <v>319</v>
      </c>
      <c r="F24" s="33" t="s">
        <v>166</v>
      </c>
      <c r="G24" s="39" t="s">
        <v>364</v>
      </c>
      <c r="H24" s="50" t="s">
        <v>363</v>
      </c>
      <c r="I24" s="19">
        <v>48</v>
      </c>
      <c r="J24" s="80">
        <f>I24/(2017-C24)</f>
        <v>16</v>
      </c>
      <c r="K24" s="9" t="s">
        <v>174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</row>
    <row r="25" spans="1:148" ht="17" thickBot="1" x14ac:dyDescent="0.25">
      <c r="B25" s="11" t="s">
        <v>124</v>
      </c>
      <c r="C25" s="18">
        <v>2012</v>
      </c>
      <c r="D25" s="12" t="s">
        <v>139</v>
      </c>
      <c r="E25" s="67" t="s">
        <v>318</v>
      </c>
      <c r="F25" s="60" t="s">
        <v>165</v>
      </c>
      <c r="G25" s="39" t="s">
        <v>364</v>
      </c>
      <c r="H25" s="50" t="s">
        <v>363</v>
      </c>
      <c r="I25" s="19">
        <v>1</v>
      </c>
      <c r="J25" s="80">
        <f>I25/(2017-C25)</f>
        <v>0.2</v>
      </c>
      <c r="K25" s="9" t="s">
        <v>234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</row>
    <row r="26" spans="1:148" ht="17" thickBot="1" x14ac:dyDescent="0.25">
      <c r="B26" s="11" t="s">
        <v>31</v>
      </c>
      <c r="C26" s="18">
        <v>2015</v>
      </c>
      <c r="D26" s="12" t="s">
        <v>137</v>
      </c>
      <c r="E26" s="75" t="s">
        <v>406</v>
      </c>
      <c r="F26" s="36" t="s">
        <v>160</v>
      </c>
      <c r="G26" s="45" t="s">
        <v>366</v>
      </c>
      <c r="H26" s="55" t="s">
        <v>404</v>
      </c>
      <c r="I26" s="19">
        <v>5</v>
      </c>
      <c r="J26" s="80">
        <f>I26/(2017-C26)</f>
        <v>2.5</v>
      </c>
      <c r="K26" s="9" t="s">
        <v>202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</row>
    <row r="27" spans="1:148" ht="17" thickBot="1" x14ac:dyDescent="0.25">
      <c r="B27" s="11" t="s">
        <v>89</v>
      </c>
      <c r="C27" s="18">
        <v>2014</v>
      </c>
      <c r="D27" s="12" t="s">
        <v>139</v>
      </c>
      <c r="E27" s="69" t="s">
        <v>319</v>
      </c>
      <c r="F27" s="60" t="s">
        <v>165</v>
      </c>
      <c r="G27" s="45" t="s">
        <v>366</v>
      </c>
      <c r="H27" s="54" t="s">
        <v>360</v>
      </c>
      <c r="I27" s="19">
        <v>10</v>
      </c>
      <c r="J27" s="80">
        <f>I27/(2017-C27)</f>
        <v>3.3333333333333335</v>
      </c>
      <c r="K27" s="9" t="s">
        <v>218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</row>
    <row r="28" spans="1:148" ht="17" thickBot="1" x14ac:dyDescent="0.25">
      <c r="A28" s="1"/>
      <c r="B28" s="11" t="s">
        <v>109</v>
      </c>
      <c r="C28" s="19">
        <v>2016</v>
      </c>
      <c r="D28" s="12" t="s">
        <v>138</v>
      </c>
      <c r="E28" s="54" t="s">
        <v>326</v>
      </c>
      <c r="F28" s="36" t="s">
        <v>160</v>
      </c>
      <c r="G28" s="45" t="s">
        <v>366</v>
      </c>
      <c r="H28" s="55" t="s">
        <v>404</v>
      </c>
      <c r="I28" s="19">
        <v>0</v>
      </c>
      <c r="J28" s="80">
        <f>I28/(2017-C28)</f>
        <v>0</v>
      </c>
      <c r="K28" s="101" t="s">
        <v>440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</row>
    <row r="29" spans="1:148" ht="17" thickBot="1" x14ac:dyDescent="0.25">
      <c r="B29" s="11" t="s">
        <v>2</v>
      </c>
      <c r="C29" s="18">
        <v>2015</v>
      </c>
      <c r="D29" s="12" t="s">
        <v>315</v>
      </c>
      <c r="E29" s="48" t="s">
        <v>316</v>
      </c>
      <c r="F29" s="39" t="s">
        <v>161</v>
      </c>
      <c r="G29" s="45" t="s">
        <v>366</v>
      </c>
      <c r="H29" s="54" t="s">
        <v>360</v>
      </c>
      <c r="I29" s="19">
        <v>14</v>
      </c>
      <c r="J29" s="80">
        <f>I29/(2017-C29)</f>
        <v>7</v>
      </c>
      <c r="K29" s="9" t="s">
        <v>228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</row>
    <row r="30" spans="1:148" ht="17" thickBot="1" x14ac:dyDescent="0.25">
      <c r="B30" s="11" t="s">
        <v>93</v>
      </c>
      <c r="C30" s="18">
        <v>2015</v>
      </c>
      <c r="D30" s="12" t="s">
        <v>139</v>
      </c>
      <c r="E30" s="70" t="s">
        <v>320</v>
      </c>
      <c r="F30" s="33" t="s">
        <v>166</v>
      </c>
      <c r="G30" s="45" t="s">
        <v>366</v>
      </c>
      <c r="H30" s="54" t="s">
        <v>360</v>
      </c>
      <c r="I30" s="19">
        <v>31</v>
      </c>
      <c r="J30" s="80">
        <f>I30/(2017-C30)</f>
        <v>15.5</v>
      </c>
      <c r="K30" s="9" t="s">
        <v>484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</row>
    <row r="31" spans="1:148" ht="17" thickBot="1" x14ac:dyDescent="0.25">
      <c r="B31" s="11" t="s">
        <v>2</v>
      </c>
      <c r="C31" s="18">
        <v>2014</v>
      </c>
      <c r="D31" s="12" t="s">
        <v>139</v>
      </c>
      <c r="E31" s="70" t="s">
        <v>320</v>
      </c>
      <c r="F31" s="33" t="s">
        <v>166</v>
      </c>
      <c r="G31" s="46" t="s">
        <v>367</v>
      </c>
      <c r="H31" s="50" t="s">
        <v>363</v>
      </c>
      <c r="I31" s="74">
        <v>324</v>
      </c>
      <c r="J31" s="80">
        <f>I31/(2017-C31)</f>
        <v>108</v>
      </c>
      <c r="K31" s="9" t="s">
        <v>180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</row>
    <row r="32" spans="1:148" ht="17" thickBot="1" x14ac:dyDescent="0.25">
      <c r="B32" s="11" t="s">
        <v>2</v>
      </c>
      <c r="C32" s="18">
        <v>2014</v>
      </c>
      <c r="D32" s="12" t="s">
        <v>315</v>
      </c>
      <c r="E32" s="46" t="s">
        <v>317</v>
      </c>
      <c r="F32" s="39" t="s">
        <v>161</v>
      </c>
      <c r="G32" s="45" t="s">
        <v>366</v>
      </c>
      <c r="H32" s="54" t="s">
        <v>360</v>
      </c>
      <c r="I32" s="19">
        <v>39</v>
      </c>
      <c r="J32" s="80">
        <f>I32/(2017-C32)</f>
        <v>13</v>
      </c>
      <c r="K32" s="9" t="s">
        <v>212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</row>
    <row r="33" spans="1:148" ht="17" thickBot="1" x14ac:dyDescent="0.25">
      <c r="B33" s="11" t="s">
        <v>2</v>
      </c>
      <c r="C33" s="18">
        <v>2013</v>
      </c>
      <c r="D33" s="12" t="s">
        <v>139</v>
      </c>
      <c r="E33" s="70" t="s">
        <v>320</v>
      </c>
      <c r="F33" s="60" t="s">
        <v>165</v>
      </c>
      <c r="G33" s="39" t="s">
        <v>364</v>
      </c>
      <c r="H33" s="50" t="s">
        <v>363</v>
      </c>
      <c r="I33" s="74">
        <v>420</v>
      </c>
      <c r="J33" s="80">
        <f>I33/(2017-C33)</f>
        <v>105</v>
      </c>
      <c r="K33" s="9" t="s">
        <v>204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</row>
    <row r="34" spans="1:148" ht="17" thickBot="1" x14ac:dyDescent="0.25">
      <c r="B34" s="11" t="s">
        <v>3</v>
      </c>
      <c r="C34" s="18">
        <v>2015</v>
      </c>
      <c r="D34" s="12" t="s">
        <v>138</v>
      </c>
      <c r="E34" s="50" t="s">
        <v>325</v>
      </c>
      <c r="F34" s="36" t="s">
        <v>160</v>
      </c>
      <c r="G34" s="45" t="s">
        <v>366</v>
      </c>
      <c r="H34" s="55" t="s">
        <v>404</v>
      </c>
      <c r="I34" s="19">
        <v>5</v>
      </c>
      <c r="J34" s="80">
        <f>I34/(2017-C34)</f>
        <v>2.5</v>
      </c>
      <c r="K34" s="9" t="s">
        <v>311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</row>
    <row r="35" spans="1:148" ht="17" thickBot="1" x14ac:dyDescent="0.25">
      <c r="B35" s="11" t="s">
        <v>5</v>
      </c>
      <c r="C35" s="18">
        <v>2007</v>
      </c>
      <c r="D35" s="96" t="s">
        <v>137</v>
      </c>
      <c r="E35" s="42" t="s">
        <v>330</v>
      </c>
      <c r="F35" s="36" t="s">
        <v>160</v>
      </c>
      <c r="G35" s="47" t="s">
        <v>365</v>
      </c>
      <c r="H35" s="50" t="s">
        <v>363</v>
      </c>
      <c r="I35" s="19">
        <v>21</v>
      </c>
      <c r="J35" s="80">
        <f>I35/(2017-C35)</f>
        <v>2.1</v>
      </c>
      <c r="K35" s="9" t="s">
        <v>292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</row>
    <row r="36" spans="1:148" ht="16" customHeight="1" thickBot="1" x14ac:dyDescent="0.25">
      <c r="B36" s="11" t="s">
        <v>30</v>
      </c>
      <c r="C36" s="18">
        <v>2016</v>
      </c>
      <c r="D36" s="12" t="s">
        <v>138</v>
      </c>
      <c r="E36" s="50" t="s">
        <v>325</v>
      </c>
      <c r="F36" s="39" t="s">
        <v>161</v>
      </c>
      <c r="G36" s="45" t="s">
        <v>366</v>
      </c>
      <c r="H36" s="50" t="s">
        <v>363</v>
      </c>
      <c r="I36" s="19">
        <v>0</v>
      </c>
      <c r="J36" s="80">
        <f>I36/(2017-C36)</f>
        <v>0</v>
      </c>
      <c r="K36" s="101" t="s">
        <v>297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</row>
    <row r="37" spans="1:148" ht="16" customHeight="1" thickBot="1" x14ac:dyDescent="0.25">
      <c r="A37" s="1"/>
      <c r="B37" s="11" t="s">
        <v>2</v>
      </c>
      <c r="C37" s="19">
        <v>2017</v>
      </c>
      <c r="D37" s="12" t="s">
        <v>315</v>
      </c>
      <c r="E37" s="46" t="s">
        <v>317</v>
      </c>
      <c r="F37" s="33" t="s">
        <v>166</v>
      </c>
      <c r="G37" s="45" t="s">
        <v>366</v>
      </c>
      <c r="H37" s="50" t="s">
        <v>363</v>
      </c>
      <c r="I37" s="19">
        <v>33</v>
      </c>
      <c r="J37" s="80">
        <v>33</v>
      </c>
      <c r="K37" s="101" t="s">
        <v>447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</row>
    <row r="38" spans="1:148" ht="17" thickBot="1" x14ac:dyDescent="0.25">
      <c r="B38" s="11" t="s">
        <v>2</v>
      </c>
      <c r="C38" s="18">
        <v>2014</v>
      </c>
      <c r="D38" s="12" t="s">
        <v>138</v>
      </c>
      <c r="E38" s="54" t="s">
        <v>326</v>
      </c>
      <c r="F38" s="60" t="s">
        <v>165</v>
      </c>
      <c r="G38" s="39" t="s">
        <v>364</v>
      </c>
      <c r="H38" s="55" t="s">
        <v>404</v>
      </c>
      <c r="I38" s="19">
        <v>33</v>
      </c>
      <c r="J38" s="80">
        <f>I38/(2017-C38)</f>
        <v>11</v>
      </c>
      <c r="K38" s="9" t="s">
        <v>286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</row>
    <row r="39" spans="1:148" ht="16" customHeight="1" thickBot="1" x14ac:dyDescent="0.25">
      <c r="B39" s="11" t="s">
        <v>25</v>
      </c>
      <c r="C39" s="18">
        <v>2009</v>
      </c>
      <c r="D39" s="12" t="s">
        <v>139</v>
      </c>
      <c r="E39" s="70" t="s">
        <v>320</v>
      </c>
      <c r="F39" s="60" t="s">
        <v>165</v>
      </c>
      <c r="G39" s="48" t="s">
        <v>368</v>
      </c>
      <c r="H39" s="51" t="s">
        <v>361</v>
      </c>
      <c r="I39" s="74">
        <v>65</v>
      </c>
      <c r="J39" s="80">
        <f>I39/(2017-C39)</f>
        <v>8.125</v>
      </c>
      <c r="K39" s="9" t="s">
        <v>208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</row>
    <row r="40" spans="1:148" ht="17" thickBot="1" x14ac:dyDescent="0.25">
      <c r="B40" s="11" t="s">
        <v>91</v>
      </c>
      <c r="C40" s="18">
        <v>2015</v>
      </c>
      <c r="D40" s="12" t="s">
        <v>139</v>
      </c>
      <c r="E40" s="73" t="s">
        <v>323</v>
      </c>
      <c r="F40" s="36" t="s">
        <v>160</v>
      </c>
      <c r="G40" s="45" t="s">
        <v>366</v>
      </c>
      <c r="H40" s="54" t="s">
        <v>360</v>
      </c>
      <c r="I40" s="19">
        <v>10</v>
      </c>
      <c r="J40" s="80">
        <f>I40/(2017-C40)</f>
        <v>5</v>
      </c>
      <c r="K40" s="9" t="s">
        <v>197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</row>
    <row r="41" spans="1:148" ht="17" thickBot="1" x14ac:dyDescent="0.25">
      <c r="B41" s="11" t="s">
        <v>26</v>
      </c>
      <c r="C41" s="18">
        <v>2011</v>
      </c>
      <c r="D41" s="12" t="s">
        <v>138</v>
      </c>
      <c r="E41" s="51" t="s">
        <v>324</v>
      </c>
      <c r="F41" s="60" t="s">
        <v>165</v>
      </c>
      <c r="G41" s="39" t="s">
        <v>364</v>
      </c>
      <c r="H41" s="55" t="s">
        <v>404</v>
      </c>
      <c r="I41" s="74">
        <v>578</v>
      </c>
      <c r="J41" s="80">
        <f>I41/(2017-C41)</f>
        <v>96.333333333333329</v>
      </c>
      <c r="K41" s="9" t="s">
        <v>203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</row>
    <row r="42" spans="1:148" ht="17" thickBot="1" x14ac:dyDescent="0.25">
      <c r="B42" s="11" t="s">
        <v>102</v>
      </c>
      <c r="C42" s="18">
        <v>2011</v>
      </c>
      <c r="D42" s="84" t="s">
        <v>138</v>
      </c>
      <c r="E42" s="55" t="s">
        <v>327</v>
      </c>
      <c r="F42" s="36" t="s">
        <v>160</v>
      </c>
      <c r="G42" s="45" t="s">
        <v>366</v>
      </c>
      <c r="H42" s="55" t="s">
        <v>404</v>
      </c>
      <c r="I42" s="19">
        <v>3</v>
      </c>
      <c r="J42" s="80">
        <f>I42/(2017-C42)</f>
        <v>0.5</v>
      </c>
      <c r="K42" s="9" t="s">
        <v>300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</row>
    <row r="43" spans="1:148" ht="17" thickBot="1" x14ac:dyDescent="0.25">
      <c r="B43" s="11" t="s">
        <v>35</v>
      </c>
      <c r="C43" s="18">
        <v>2013</v>
      </c>
      <c r="D43" s="12" t="s">
        <v>139</v>
      </c>
      <c r="E43" s="70" t="s">
        <v>320</v>
      </c>
      <c r="F43" s="60" t="s">
        <v>165</v>
      </c>
      <c r="G43" s="81" t="s">
        <v>367</v>
      </c>
      <c r="H43" s="50" t="s">
        <v>363</v>
      </c>
      <c r="I43" s="19">
        <v>5</v>
      </c>
      <c r="J43" s="80">
        <f>I43/(2017-C43)</f>
        <v>1.25</v>
      </c>
      <c r="K43" s="9" t="s">
        <v>231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</row>
    <row r="44" spans="1:148" ht="17" thickBot="1" x14ac:dyDescent="0.25">
      <c r="B44" s="11" t="s">
        <v>5</v>
      </c>
      <c r="C44" s="18">
        <v>2012</v>
      </c>
      <c r="D44" s="12" t="s">
        <v>138</v>
      </c>
      <c r="E44" s="50" t="s">
        <v>325</v>
      </c>
      <c r="F44" s="59" t="s">
        <v>168</v>
      </c>
      <c r="G44" s="39" t="s">
        <v>364</v>
      </c>
      <c r="H44" s="50" t="s">
        <v>363</v>
      </c>
      <c r="I44" s="19">
        <v>33</v>
      </c>
      <c r="J44" s="80">
        <f>I44/(2017-C44)</f>
        <v>6.6</v>
      </c>
      <c r="K44" s="9" t="s">
        <v>294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</row>
    <row r="45" spans="1:148" ht="17" thickBot="1" x14ac:dyDescent="0.25">
      <c r="B45" s="11" t="s">
        <v>126</v>
      </c>
      <c r="C45" s="18">
        <v>2015</v>
      </c>
      <c r="D45" s="12" t="s">
        <v>139</v>
      </c>
      <c r="E45" s="73" t="s">
        <v>323</v>
      </c>
      <c r="F45" s="34" t="s">
        <v>157</v>
      </c>
      <c r="G45" s="81" t="s">
        <v>367</v>
      </c>
      <c r="H45" s="50" t="s">
        <v>363</v>
      </c>
      <c r="I45" s="19">
        <v>0</v>
      </c>
      <c r="J45" s="80">
        <f>I45/(2017-C45)</f>
        <v>0</v>
      </c>
      <c r="K45" s="9" t="s">
        <v>189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</row>
    <row r="46" spans="1:148" ht="17" thickBot="1" x14ac:dyDescent="0.25">
      <c r="B46" s="11" t="s">
        <v>2</v>
      </c>
      <c r="C46" s="18">
        <v>2015</v>
      </c>
      <c r="D46" s="12" t="s">
        <v>139</v>
      </c>
      <c r="E46" s="73" t="s">
        <v>323</v>
      </c>
      <c r="F46" s="35" t="s">
        <v>158</v>
      </c>
      <c r="G46" s="81" t="s">
        <v>367</v>
      </c>
      <c r="H46" s="50" t="s">
        <v>363</v>
      </c>
      <c r="I46" s="19">
        <v>26</v>
      </c>
      <c r="J46" s="80">
        <f>I46/(2017-C46)</f>
        <v>13</v>
      </c>
      <c r="K46" s="9" t="s">
        <v>185</v>
      </c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</row>
    <row r="47" spans="1:148" ht="17" thickBot="1" x14ac:dyDescent="0.25">
      <c r="B47" s="11" t="s">
        <v>92</v>
      </c>
      <c r="C47" s="18">
        <v>2015</v>
      </c>
      <c r="D47" s="12" t="s">
        <v>139</v>
      </c>
      <c r="E47" s="67" t="s">
        <v>318</v>
      </c>
      <c r="F47" s="35" t="s">
        <v>158</v>
      </c>
      <c r="G47" s="81" t="s">
        <v>367</v>
      </c>
      <c r="H47" s="54" t="s">
        <v>360</v>
      </c>
      <c r="I47" s="19">
        <v>2</v>
      </c>
      <c r="J47" s="80">
        <f>I47/(2017-C47)</f>
        <v>1</v>
      </c>
      <c r="K47" s="9" t="s">
        <v>249</v>
      </c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</row>
    <row r="48" spans="1:148" ht="17" thickBot="1" x14ac:dyDescent="0.25">
      <c r="B48" s="11" t="s">
        <v>85</v>
      </c>
      <c r="C48" s="18">
        <v>2013</v>
      </c>
      <c r="D48" s="12" t="s">
        <v>139</v>
      </c>
      <c r="E48" s="69" t="s">
        <v>319</v>
      </c>
      <c r="F48" s="60" t="s">
        <v>165</v>
      </c>
      <c r="G48" s="39" t="s">
        <v>364</v>
      </c>
      <c r="H48" s="54" t="s">
        <v>360</v>
      </c>
      <c r="I48" s="19">
        <v>26</v>
      </c>
      <c r="J48" s="80">
        <f>I48/(2017-C48)</f>
        <v>6.5</v>
      </c>
      <c r="K48" s="9" t="s">
        <v>217</v>
      </c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</row>
    <row r="49" spans="1:148" ht="17" thickBot="1" x14ac:dyDescent="0.25">
      <c r="B49" s="11" t="s">
        <v>10</v>
      </c>
      <c r="C49" s="18">
        <v>2015</v>
      </c>
      <c r="D49" s="12" t="s">
        <v>139</v>
      </c>
      <c r="E49" s="73" t="s">
        <v>323</v>
      </c>
      <c r="F49" s="36" t="s">
        <v>160</v>
      </c>
      <c r="G49" s="45" t="s">
        <v>366</v>
      </c>
      <c r="H49" s="55" t="s">
        <v>404</v>
      </c>
      <c r="I49" s="19">
        <v>7</v>
      </c>
      <c r="J49" s="80">
        <f>I49/(2017-C49)</f>
        <v>3.5</v>
      </c>
      <c r="K49" s="9" t="s">
        <v>198</v>
      </c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</row>
    <row r="50" spans="1:148" ht="17" thickBot="1" x14ac:dyDescent="0.25">
      <c r="B50" s="11" t="s">
        <v>2</v>
      </c>
      <c r="C50" s="18">
        <v>2016</v>
      </c>
      <c r="D50" s="12" t="s">
        <v>137</v>
      </c>
      <c r="E50" s="40" t="s">
        <v>329</v>
      </c>
      <c r="F50" s="36" t="s">
        <v>160</v>
      </c>
      <c r="G50" s="45" t="s">
        <v>366</v>
      </c>
      <c r="H50" s="54" t="s">
        <v>360</v>
      </c>
      <c r="I50" s="19">
        <v>10</v>
      </c>
      <c r="J50" s="80">
        <f>I50/(2017-C50)</f>
        <v>10</v>
      </c>
      <c r="K50" s="101" t="s">
        <v>196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</row>
    <row r="51" spans="1:148" ht="17" thickBot="1" x14ac:dyDescent="0.25">
      <c r="A51" s="1"/>
      <c r="B51" s="11" t="s">
        <v>392</v>
      </c>
      <c r="C51" s="19">
        <v>2016</v>
      </c>
      <c r="D51" s="12" t="s">
        <v>137</v>
      </c>
      <c r="E51" s="40" t="s">
        <v>329</v>
      </c>
      <c r="F51" s="36" t="s">
        <v>160</v>
      </c>
      <c r="G51" s="48" t="s">
        <v>368</v>
      </c>
      <c r="H51" s="51" t="s">
        <v>361</v>
      </c>
      <c r="I51" s="19">
        <v>3</v>
      </c>
      <c r="J51" s="80">
        <f>I51/(2017-C51)</f>
        <v>3</v>
      </c>
      <c r="K51" s="101" t="s">
        <v>418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</row>
    <row r="52" spans="1:148" ht="17" thickBot="1" x14ac:dyDescent="0.25">
      <c r="B52" s="11" t="s">
        <v>0</v>
      </c>
      <c r="C52" s="18">
        <v>2012</v>
      </c>
      <c r="D52" s="12" t="s">
        <v>139</v>
      </c>
      <c r="E52" s="71" t="s">
        <v>321</v>
      </c>
      <c r="F52" s="60" t="s">
        <v>165</v>
      </c>
      <c r="G52" s="39" t="s">
        <v>364</v>
      </c>
      <c r="H52" s="50" t="s">
        <v>363</v>
      </c>
      <c r="I52" s="74">
        <v>164</v>
      </c>
      <c r="J52" s="80">
        <f>I52/(2017-C52)</f>
        <v>32.799999999999997</v>
      </c>
      <c r="K52" s="9" t="s">
        <v>206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</row>
    <row r="53" spans="1:148" ht="17" thickBot="1" x14ac:dyDescent="0.25">
      <c r="A53" s="1"/>
      <c r="B53" s="11" t="s">
        <v>2</v>
      </c>
      <c r="C53" s="19">
        <v>2017</v>
      </c>
      <c r="D53" s="12" t="s">
        <v>315</v>
      </c>
      <c r="E53" s="48" t="s">
        <v>316</v>
      </c>
      <c r="F53" s="39" t="s">
        <v>161</v>
      </c>
      <c r="G53" s="45" t="s">
        <v>366</v>
      </c>
      <c r="H53" s="54" t="s">
        <v>360</v>
      </c>
      <c r="I53" s="19">
        <v>2</v>
      </c>
      <c r="J53" s="80">
        <v>2</v>
      </c>
      <c r="K53" s="101" t="s">
        <v>444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</row>
    <row r="54" spans="1:148" ht="17" thickBot="1" x14ac:dyDescent="0.25">
      <c r="B54" s="11" t="s">
        <v>108</v>
      </c>
      <c r="C54" s="18">
        <v>2009</v>
      </c>
      <c r="D54" s="12" t="s">
        <v>315</v>
      </c>
      <c r="E54" s="46" t="s">
        <v>317</v>
      </c>
      <c r="F54" s="39" t="s">
        <v>161</v>
      </c>
      <c r="G54" s="45" t="s">
        <v>366</v>
      </c>
      <c r="H54" s="54" t="s">
        <v>360</v>
      </c>
      <c r="I54" s="19">
        <v>134</v>
      </c>
      <c r="J54" s="80">
        <f>I54/(2017-C54)</f>
        <v>16.75</v>
      </c>
      <c r="K54" s="9" t="s">
        <v>169</v>
      </c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</row>
    <row r="55" spans="1:148" ht="17" thickBot="1" x14ac:dyDescent="0.25">
      <c r="B55" s="11" t="s">
        <v>13</v>
      </c>
      <c r="C55" s="18">
        <v>2012</v>
      </c>
      <c r="D55" s="12" t="s">
        <v>137</v>
      </c>
      <c r="E55" s="40" t="s">
        <v>329</v>
      </c>
      <c r="F55" s="36" t="s">
        <v>160</v>
      </c>
      <c r="G55" s="44" t="s">
        <v>140</v>
      </c>
      <c r="H55" s="51" t="s">
        <v>361</v>
      </c>
      <c r="I55" s="19">
        <v>25</v>
      </c>
      <c r="J55" s="80">
        <f>I55/(2017-C55)</f>
        <v>5</v>
      </c>
      <c r="K55" s="9" t="s">
        <v>269</v>
      </c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</row>
    <row r="56" spans="1:148" ht="17" thickBot="1" x14ac:dyDescent="0.25">
      <c r="B56" s="11" t="s">
        <v>20</v>
      </c>
      <c r="C56" s="18">
        <v>2015</v>
      </c>
      <c r="D56" s="12" t="s">
        <v>139</v>
      </c>
      <c r="E56" s="69" t="s">
        <v>319</v>
      </c>
      <c r="F56" s="36" t="s">
        <v>160</v>
      </c>
      <c r="G56" s="45" t="s">
        <v>366</v>
      </c>
      <c r="H56" s="50" t="s">
        <v>363</v>
      </c>
      <c r="I56" s="19">
        <v>6</v>
      </c>
      <c r="J56" s="80">
        <f>I56/(2017-C56)</f>
        <v>3</v>
      </c>
      <c r="K56" s="9" t="s">
        <v>199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</row>
    <row r="57" spans="1:148" ht="17" thickBot="1" x14ac:dyDescent="0.25">
      <c r="B57" s="11" t="s">
        <v>3</v>
      </c>
      <c r="C57" s="18">
        <v>2012</v>
      </c>
      <c r="D57" s="12" t="s">
        <v>137</v>
      </c>
      <c r="E57" s="42" t="s">
        <v>330</v>
      </c>
      <c r="F57" s="36" t="s">
        <v>160</v>
      </c>
      <c r="G57" s="44" t="s">
        <v>140</v>
      </c>
      <c r="H57" s="50" t="s">
        <v>363</v>
      </c>
      <c r="I57" s="19">
        <v>4</v>
      </c>
      <c r="J57" s="80">
        <f>I57/(2017-C57)</f>
        <v>0.8</v>
      </c>
      <c r="K57" s="9" t="s">
        <v>287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</row>
    <row r="58" spans="1:148" ht="17" thickBot="1" x14ac:dyDescent="0.25">
      <c r="B58" s="11" t="s">
        <v>2</v>
      </c>
      <c r="C58" s="18">
        <v>2013</v>
      </c>
      <c r="D58" s="12" t="s">
        <v>139</v>
      </c>
      <c r="E58" s="72" t="s">
        <v>322</v>
      </c>
      <c r="F58" s="35" t="s">
        <v>158</v>
      </c>
      <c r="G58" s="39" t="s">
        <v>364</v>
      </c>
      <c r="H58" s="50" t="s">
        <v>363</v>
      </c>
      <c r="I58" s="19">
        <v>72</v>
      </c>
      <c r="J58" s="80">
        <f>I58/(2017-C58)</f>
        <v>18</v>
      </c>
      <c r="K58" s="9" t="s">
        <v>192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</row>
    <row r="59" spans="1:148" ht="17" thickBot="1" x14ac:dyDescent="0.25">
      <c r="B59" s="11" t="s">
        <v>29</v>
      </c>
      <c r="C59" s="18">
        <v>2011</v>
      </c>
      <c r="D59" s="12" t="s">
        <v>138</v>
      </c>
      <c r="E59" s="50" t="s">
        <v>325</v>
      </c>
      <c r="F59" s="36" t="s">
        <v>160</v>
      </c>
      <c r="G59" s="45" t="s">
        <v>366</v>
      </c>
      <c r="H59" s="50" t="s">
        <v>363</v>
      </c>
      <c r="I59" s="19">
        <v>75</v>
      </c>
      <c r="J59" s="80">
        <f>I59/(2017-C59)</f>
        <v>12.5</v>
      </c>
      <c r="K59" s="9" t="s">
        <v>310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</row>
    <row r="60" spans="1:148" ht="17" thickBot="1" x14ac:dyDescent="0.25">
      <c r="B60" s="11" t="s">
        <v>2</v>
      </c>
      <c r="C60" s="18">
        <v>2014</v>
      </c>
      <c r="D60" s="12" t="s">
        <v>138</v>
      </c>
      <c r="E60" s="54" t="s">
        <v>326</v>
      </c>
      <c r="F60" s="36" t="s">
        <v>160</v>
      </c>
      <c r="G60" s="45" t="s">
        <v>366</v>
      </c>
      <c r="H60" s="56" t="s">
        <v>164</v>
      </c>
      <c r="I60" s="19">
        <v>57</v>
      </c>
      <c r="J60" s="80">
        <f>I60/(2017-C60)</f>
        <v>19</v>
      </c>
      <c r="K60" s="9" t="s">
        <v>246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</row>
    <row r="61" spans="1:148" ht="16" customHeight="1" thickBot="1" x14ac:dyDescent="0.25">
      <c r="B61" s="11" t="s">
        <v>28</v>
      </c>
      <c r="C61" s="18">
        <v>2012</v>
      </c>
      <c r="D61" s="12" t="s">
        <v>139</v>
      </c>
      <c r="E61" s="69" t="s">
        <v>319</v>
      </c>
      <c r="F61" s="60" t="s">
        <v>165</v>
      </c>
      <c r="G61" s="39" t="s">
        <v>364</v>
      </c>
      <c r="H61" s="50" t="s">
        <v>363</v>
      </c>
      <c r="I61" s="19">
        <v>58</v>
      </c>
      <c r="J61" s="80">
        <f>I61/(2017-C61)</f>
        <v>11.6</v>
      </c>
      <c r="K61" s="9" t="s">
        <v>190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</row>
    <row r="62" spans="1:148" ht="17" thickBot="1" x14ac:dyDescent="0.25">
      <c r="B62" s="11" t="s">
        <v>19</v>
      </c>
      <c r="C62" s="18">
        <v>2008</v>
      </c>
      <c r="D62" s="12" t="s">
        <v>138</v>
      </c>
      <c r="E62" s="55" t="s">
        <v>327</v>
      </c>
      <c r="F62" s="35" t="s">
        <v>158</v>
      </c>
      <c r="G62" s="48" t="s">
        <v>368</v>
      </c>
      <c r="H62" s="51" t="s">
        <v>361</v>
      </c>
      <c r="I62" s="19">
        <v>21</v>
      </c>
      <c r="J62" s="80">
        <f>I62/(2017-C62)</f>
        <v>2.3333333333333335</v>
      </c>
      <c r="K62" s="9" t="s">
        <v>179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</row>
    <row r="63" spans="1:148" ht="17" thickBot="1" x14ac:dyDescent="0.25">
      <c r="A63" s="1"/>
      <c r="B63" s="11" t="s">
        <v>30</v>
      </c>
      <c r="C63" s="19">
        <v>2016</v>
      </c>
      <c r="D63" s="12" t="s">
        <v>138</v>
      </c>
      <c r="E63" s="50" t="s">
        <v>325</v>
      </c>
      <c r="F63" s="36" t="s">
        <v>160</v>
      </c>
      <c r="G63" s="45" t="s">
        <v>366</v>
      </c>
      <c r="H63" s="55" t="s">
        <v>404</v>
      </c>
      <c r="I63" s="19">
        <v>0</v>
      </c>
      <c r="J63" s="80">
        <f>I63/(2017-C63)</f>
        <v>0</v>
      </c>
      <c r="K63" s="101" t="s">
        <v>442</v>
      </c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</row>
    <row r="64" spans="1:148" ht="17" thickBot="1" x14ac:dyDescent="0.25">
      <c r="B64" s="11" t="s">
        <v>20</v>
      </c>
      <c r="C64" s="18">
        <v>2012</v>
      </c>
      <c r="D64" s="12" t="s">
        <v>139</v>
      </c>
      <c r="E64" s="72" t="s">
        <v>322</v>
      </c>
      <c r="F64" s="35" t="s">
        <v>158</v>
      </c>
      <c r="G64" s="39" t="s">
        <v>364</v>
      </c>
      <c r="H64" s="55" t="s">
        <v>404</v>
      </c>
      <c r="I64" s="19">
        <v>65</v>
      </c>
      <c r="J64" s="80">
        <f>I64/(2017-C64)</f>
        <v>13</v>
      </c>
      <c r="K64" s="9" t="s">
        <v>193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</row>
    <row r="65" spans="1:148" ht="17" thickBot="1" x14ac:dyDescent="0.25">
      <c r="B65" s="11" t="s">
        <v>16</v>
      </c>
      <c r="C65" s="18">
        <v>2013</v>
      </c>
      <c r="D65" s="105" t="s">
        <v>137</v>
      </c>
      <c r="E65" s="42" t="s">
        <v>330</v>
      </c>
      <c r="F65" s="35" t="s">
        <v>158</v>
      </c>
      <c r="G65" s="44" t="s">
        <v>140</v>
      </c>
      <c r="H65" s="51" t="s">
        <v>361</v>
      </c>
      <c r="I65" s="19">
        <v>4</v>
      </c>
      <c r="J65" s="80">
        <f>I65/(2017-C65)</f>
        <v>1</v>
      </c>
      <c r="K65" s="9" t="s">
        <v>312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</row>
    <row r="66" spans="1:148" ht="17" thickBot="1" x14ac:dyDescent="0.25">
      <c r="A66" s="1"/>
      <c r="B66" s="11" t="s">
        <v>2</v>
      </c>
      <c r="C66" s="19">
        <v>2016</v>
      </c>
      <c r="D66" s="52" t="s">
        <v>139</v>
      </c>
      <c r="E66" s="69" t="s">
        <v>319</v>
      </c>
      <c r="F66" s="60" t="s">
        <v>165</v>
      </c>
      <c r="G66" s="47" t="s">
        <v>365</v>
      </c>
      <c r="H66" s="55" t="s">
        <v>404</v>
      </c>
      <c r="I66" s="19">
        <v>10</v>
      </c>
      <c r="J66" s="80">
        <f>I66/(2017-C66)</f>
        <v>10</v>
      </c>
      <c r="K66" s="101" t="s">
        <v>425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</row>
    <row r="67" spans="1:148" ht="16" customHeight="1" thickBot="1" x14ac:dyDescent="0.25">
      <c r="A67" s="1"/>
      <c r="B67" s="11" t="s">
        <v>2</v>
      </c>
      <c r="C67" s="19">
        <v>2017</v>
      </c>
      <c r="D67" s="12" t="s">
        <v>139</v>
      </c>
      <c r="E67" s="70" t="s">
        <v>320</v>
      </c>
      <c r="F67" s="33" t="s">
        <v>166</v>
      </c>
      <c r="G67" s="39" t="s">
        <v>364</v>
      </c>
      <c r="H67" s="50" t="s">
        <v>363</v>
      </c>
      <c r="I67" s="19">
        <v>3</v>
      </c>
      <c r="J67" s="80">
        <v>3</v>
      </c>
      <c r="K67" s="101" t="s">
        <v>449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</row>
    <row r="68" spans="1:148" ht="17" thickBot="1" x14ac:dyDescent="0.25">
      <c r="B68" s="11" t="s">
        <v>0</v>
      </c>
      <c r="C68" s="18">
        <v>2014</v>
      </c>
      <c r="D68" s="105" t="s">
        <v>137</v>
      </c>
      <c r="E68" s="41" t="s">
        <v>328</v>
      </c>
      <c r="F68" s="35" t="s">
        <v>158</v>
      </c>
      <c r="G68" s="44" t="s">
        <v>140</v>
      </c>
      <c r="H68" s="54" t="s">
        <v>360</v>
      </c>
      <c r="I68" s="19">
        <v>2</v>
      </c>
      <c r="J68" s="80">
        <f>I68/(2017-C68)</f>
        <v>0.66666666666666663</v>
      </c>
      <c r="K68" s="9" t="s">
        <v>187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</row>
    <row r="69" spans="1:148" ht="19" customHeight="1" thickBot="1" x14ac:dyDescent="0.25">
      <c r="B69" s="11" t="s">
        <v>123</v>
      </c>
      <c r="C69" s="18">
        <v>2012</v>
      </c>
      <c r="D69" s="105" t="s">
        <v>139</v>
      </c>
      <c r="E69" s="71" t="s">
        <v>321</v>
      </c>
      <c r="F69" s="39" t="s">
        <v>161</v>
      </c>
      <c r="G69" s="39" t="s">
        <v>364</v>
      </c>
      <c r="H69" s="50" t="s">
        <v>363</v>
      </c>
      <c r="I69" s="19">
        <v>26</v>
      </c>
      <c r="J69" s="80">
        <f>I69/(2017-C69)</f>
        <v>5.2</v>
      </c>
      <c r="K69" s="9" t="s">
        <v>243</v>
      </c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</row>
    <row r="70" spans="1:148" ht="17" thickBot="1" x14ac:dyDescent="0.25">
      <c r="A70" s="1"/>
      <c r="B70" s="11" t="s">
        <v>2</v>
      </c>
      <c r="C70" s="19">
        <v>2016</v>
      </c>
      <c r="D70" s="52" t="s">
        <v>139</v>
      </c>
      <c r="E70" s="70" t="s">
        <v>320</v>
      </c>
      <c r="F70" s="33" t="s">
        <v>166</v>
      </c>
      <c r="G70" s="39" t="s">
        <v>364</v>
      </c>
      <c r="H70" s="50" t="s">
        <v>363</v>
      </c>
      <c r="I70" s="19">
        <v>4</v>
      </c>
      <c r="J70" s="80">
        <f>I70/(2017-C70)</f>
        <v>4</v>
      </c>
      <c r="K70" s="101" t="s">
        <v>431</v>
      </c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</row>
    <row r="71" spans="1:148" ht="16" customHeight="1" thickBot="1" x14ac:dyDescent="0.25">
      <c r="B71" s="11" t="s">
        <v>133</v>
      </c>
      <c r="C71" s="18">
        <v>2012</v>
      </c>
      <c r="D71" s="12" t="s">
        <v>137</v>
      </c>
      <c r="E71" s="40" t="s">
        <v>329</v>
      </c>
      <c r="F71" s="38" t="s">
        <v>159</v>
      </c>
      <c r="G71" s="48" t="s">
        <v>368</v>
      </c>
      <c r="H71" s="51" t="s">
        <v>361</v>
      </c>
      <c r="I71" s="19">
        <v>30</v>
      </c>
      <c r="J71" s="80">
        <f>I71/(2017-C71)</f>
        <v>6</v>
      </c>
      <c r="K71" s="9" t="s">
        <v>265</v>
      </c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</row>
    <row r="72" spans="1:148" ht="16" customHeight="1" thickBot="1" x14ac:dyDescent="0.25">
      <c r="B72" s="11" t="s">
        <v>117</v>
      </c>
      <c r="C72" s="18">
        <v>2007</v>
      </c>
      <c r="D72" s="12" t="s">
        <v>137</v>
      </c>
      <c r="E72" s="41" t="s">
        <v>328</v>
      </c>
      <c r="F72" s="36" t="s">
        <v>160</v>
      </c>
      <c r="G72" s="45" t="s">
        <v>366</v>
      </c>
      <c r="H72" s="54" t="s">
        <v>360</v>
      </c>
      <c r="I72" s="19">
        <v>6</v>
      </c>
      <c r="J72" s="80">
        <f>I72/(2017-C72)</f>
        <v>0.6</v>
      </c>
      <c r="K72" s="9" t="s">
        <v>272</v>
      </c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</row>
    <row r="73" spans="1:148" ht="17" thickBot="1" x14ac:dyDescent="0.25">
      <c r="B73" s="11" t="s">
        <v>28</v>
      </c>
      <c r="C73" s="18">
        <v>2012</v>
      </c>
      <c r="D73" s="12" t="s">
        <v>139</v>
      </c>
      <c r="E73" s="69" t="s">
        <v>319</v>
      </c>
      <c r="F73" s="33" t="s">
        <v>166</v>
      </c>
      <c r="G73" s="39" t="s">
        <v>364</v>
      </c>
      <c r="H73" s="50" t="s">
        <v>363</v>
      </c>
      <c r="I73" s="74">
        <v>190</v>
      </c>
      <c r="J73" s="80">
        <f>I73/(2017-C73)</f>
        <v>38</v>
      </c>
      <c r="K73" s="9" t="s">
        <v>175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</row>
    <row r="74" spans="1:148" ht="17" thickBot="1" x14ac:dyDescent="0.25">
      <c r="B74" s="11" t="s">
        <v>118</v>
      </c>
      <c r="C74" s="18">
        <v>2013</v>
      </c>
      <c r="D74" s="12" t="s">
        <v>139</v>
      </c>
      <c r="E74" s="70" t="s">
        <v>320</v>
      </c>
      <c r="F74" s="33" t="s">
        <v>166</v>
      </c>
      <c r="G74" s="39" t="s">
        <v>364</v>
      </c>
      <c r="H74" s="50" t="s">
        <v>363</v>
      </c>
      <c r="I74" s="19">
        <v>40</v>
      </c>
      <c r="J74" s="80">
        <f>I74/(2017-C74)</f>
        <v>10</v>
      </c>
      <c r="K74" s="9" t="s">
        <v>178</v>
      </c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</row>
    <row r="75" spans="1:148" ht="16" customHeight="1" thickBot="1" x14ac:dyDescent="0.25">
      <c r="A75" s="1"/>
      <c r="B75" s="11" t="s">
        <v>393</v>
      </c>
      <c r="C75" s="19">
        <v>2017</v>
      </c>
      <c r="D75" s="12" t="s">
        <v>139</v>
      </c>
      <c r="E75" s="67" t="s">
        <v>318</v>
      </c>
      <c r="F75" s="39" t="s">
        <v>161</v>
      </c>
      <c r="G75" s="39" t="s">
        <v>364</v>
      </c>
      <c r="H75" s="50" t="s">
        <v>363</v>
      </c>
      <c r="I75" s="19">
        <v>0</v>
      </c>
      <c r="J75" s="80">
        <v>0</v>
      </c>
      <c r="K75" s="103" t="s">
        <v>452</v>
      </c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</row>
    <row r="76" spans="1:148" ht="17" thickBot="1" x14ac:dyDescent="0.25">
      <c r="B76" s="11" t="s">
        <v>21</v>
      </c>
      <c r="C76" s="18">
        <v>2008</v>
      </c>
      <c r="D76" s="12" t="s">
        <v>315</v>
      </c>
      <c r="E76" s="48" t="s">
        <v>316</v>
      </c>
      <c r="F76" s="39" t="s">
        <v>161</v>
      </c>
      <c r="G76" s="45" t="s">
        <v>366</v>
      </c>
      <c r="H76" s="54" t="s">
        <v>360</v>
      </c>
      <c r="I76" s="19">
        <v>4</v>
      </c>
      <c r="J76" s="80">
        <f>I76/(2017-C76)</f>
        <v>0.44444444444444442</v>
      </c>
      <c r="K76" s="9" t="s">
        <v>244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</row>
    <row r="77" spans="1:148" ht="17" thickBot="1" x14ac:dyDescent="0.25">
      <c r="B77" s="11" t="s">
        <v>112</v>
      </c>
      <c r="C77" s="18">
        <v>2015</v>
      </c>
      <c r="D77" s="12" t="s">
        <v>315</v>
      </c>
      <c r="E77" s="48" t="s">
        <v>316</v>
      </c>
      <c r="F77" s="39" t="s">
        <v>161</v>
      </c>
      <c r="G77" s="45" t="s">
        <v>366</v>
      </c>
      <c r="H77" s="54" t="s">
        <v>360</v>
      </c>
      <c r="I77" s="19">
        <v>6</v>
      </c>
      <c r="J77" s="80">
        <f>I77/(2017-C77)</f>
        <v>3</v>
      </c>
      <c r="K77" s="9" t="s">
        <v>305</v>
      </c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</row>
    <row r="78" spans="1:148" ht="17" thickBot="1" x14ac:dyDescent="0.25">
      <c r="A78" s="1"/>
      <c r="B78" s="11" t="s">
        <v>391</v>
      </c>
      <c r="C78" s="19">
        <v>2016</v>
      </c>
      <c r="D78" s="12" t="s">
        <v>138</v>
      </c>
      <c r="E78" s="50" t="s">
        <v>325</v>
      </c>
      <c r="F78" s="36" t="s">
        <v>160</v>
      </c>
      <c r="G78" s="47" t="s">
        <v>365</v>
      </c>
      <c r="H78" s="50" t="s">
        <v>363</v>
      </c>
      <c r="I78" s="19">
        <v>5</v>
      </c>
      <c r="J78" s="80">
        <f>I78/(2017-C78)</f>
        <v>5</v>
      </c>
      <c r="K78" s="101" t="s">
        <v>417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</row>
    <row r="79" spans="1:148" ht="17" thickBot="1" x14ac:dyDescent="0.25">
      <c r="B79" s="11" t="s">
        <v>127</v>
      </c>
      <c r="C79" s="18">
        <v>2012</v>
      </c>
      <c r="D79" s="12" t="s">
        <v>138</v>
      </c>
      <c r="E79" s="50" t="s">
        <v>325</v>
      </c>
      <c r="F79" s="39" t="s">
        <v>161</v>
      </c>
      <c r="G79" s="45" t="s">
        <v>366</v>
      </c>
      <c r="H79" s="50" t="s">
        <v>363</v>
      </c>
      <c r="I79" s="19">
        <v>52</v>
      </c>
      <c r="J79" s="80">
        <f>I79/(2017-C79)</f>
        <v>10.4</v>
      </c>
      <c r="K79" s="9" t="s">
        <v>302</v>
      </c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</row>
    <row r="80" spans="1:148" ht="16" customHeight="1" thickBot="1" x14ac:dyDescent="0.25">
      <c r="B80" s="11" t="s">
        <v>86</v>
      </c>
      <c r="C80" s="18">
        <v>2013</v>
      </c>
      <c r="D80" s="12" t="s">
        <v>137</v>
      </c>
      <c r="E80" s="42" t="s">
        <v>330</v>
      </c>
      <c r="F80" s="60" t="s">
        <v>165</v>
      </c>
      <c r="G80" s="45" t="s">
        <v>366</v>
      </c>
      <c r="H80" s="55" t="s">
        <v>404</v>
      </c>
      <c r="I80" s="19">
        <v>14</v>
      </c>
      <c r="J80" s="80">
        <f>I80/(2017-C80)</f>
        <v>3.5</v>
      </c>
      <c r="K80" s="9" t="s">
        <v>248</v>
      </c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</row>
    <row r="81" spans="1:150" ht="17" thickBot="1" x14ac:dyDescent="0.25">
      <c r="B81" s="11" t="s">
        <v>128</v>
      </c>
      <c r="C81" s="18">
        <v>2011</v>
      </c>
      <c r="D81" s="12" t="s">
        <v>315</v>
      </c>
      <c r="E81" s="48" t="s">
        <v>316</v>
      </c>
      <c r="F81" s="39" t="s">
        <v>161</v>
      </c>
      <c r="G81" s="45" t="s">
        <v>366</v>
      </c>
      <c r="H81" s="54" t="s">
        <v>360</v>
      </c>
      <c r="I81" s="19">
        <v>55</v>
      </c>
      <c r="J81" s="80">
        <f>I81/(2017-C81)</f>
        <v>9.1666666666666661</v>
      </c>
      <c r="K81" s="9" t="s">
        <v>225</v>
      </c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</row>
    <row r="82" spans="1:150" ht="17" thickBot="1" x14ac:dyDescent="0.25">
      <c r="B82" s="11" t="s">
        <v>101</v>
      </c>
      <c r="C82" s="18">
        <v>2011</v>
      </c>
      <c r="D82" s="12" t="s">
        <v>139</v>
      </c>
      <c r="E82" s="69" t="s">
        <v>319</v>
      </c>
      <c r="F82" s="60" t="s">
        <v>165</v>
      </c>
      <c r="G82" s="45" t="s">
        <v>366</v>
      </c>
      <c r="H82" s="55" t="s">
        <v>404</v>
      </c>
      <c r="I82" s="19">
        <v>53</v>
      </c>
      <c r="J82" s="80">
        <f>I82/(2017-C82)</f>
        <v>8.8333333333333339</v>
      </c>
      <c r="K82" s="9" t="s">
        <v>209</v>
      </c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</row>
    <row r="83" spans="1:150" ht="17" thickBot="1" x14ac:dyDescent="0.25">
      <c r="B83" s="11" t="s">
        <v>129</v>
      </c>
      <c r="C83" s="18">
        <v>2010</v>
      </c>
      <c r="D83" s="12" t="s">
        <v>315</v>
      </c>
      <c r="E83" s="48" t="s">
        <v>316</v>
      </c>
      <c r="F83" s="39" t="s">
        <v>161</v>
      </c>
      <c r="G83" s="45" t="s">
        <v>366</v>
      </c>
      <c r="H83" s="54" t="s">
        <v>360</v>
      </c>
      <c r="I83" s="19">
        <v>83</v>
      </c>
      <c r="J83" s="80">
        <f>I83/(2017-C83)</f>
        <v>11.857142857142858</v>
      </c>
      <c r="K83" s="9" t="s">
        <v>242</v>
      </c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9"/>
      <c r="ET83" s="9"/>
    </row>
    <row r="84" spans="1:150" ht="17" thickBot="1" x14ac:dyDescent="0.25">
      <c r="B84" s="11" t="s">
        <v>0</v>
      </c>
      <c r="C84" s="18">
        <v>2015</v>
      </c>
      <c r="D84" s="12" t="s">
        <v>139</v>
      </c>
      <c r="E84" s="67" t="s">
        <v>318</v>
      </c>
      <c r="F84" s="39" t="s">
        <v>161</v>
      </c>
      <c r="G84" s="39" t="s">
        <v>364</v>
      </c>
      <c r="H84" s="50" t="s">
        <v>363</v>
      </c>
      <c r="I84" s="19">
        <v>4</v>
      </c>
      <c r="J84" s="80">
        <f>I84/(2017-C84)</f>
        <v>2</v>
      </c>
      <c r="K84" s="9" t="s">
        <v>230</v>
      </c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</row>
    <row r="85" spans="1:150" ht="16" customHeight="1" thickBot="1" x14ac:dyDescent="0.25">
      <c r="A85" s="1"/>
      <c r="B85" s="11" t="s">
        <v>394</v>
      </c>
      <c r="C85" s="19">
        <v>2016</v>
      </c>
      <c r="D85" s="12" t="s">
        <v>139</v>
      </c>
      <c r="E85" s="71" t="s">
        <v>321</v>
      </c>
      <c r="F85" s="60" t="s">
        <v>165</v>
      </c>
      <c r="G85" s="39" t="s">
        <v>364</v>
      </c>
      <c r="H85" s="50" t="s">
        <v>363</v>
      </c>
      <c r="I85" s="19">
        <v>25</v>
      </c>
      <c r="J85" s="80">
        <f>I85/(2017-C85)</f>
        <v>25</v>
      </c>
      <c r="K85" s="101" t="s">
        <v>390</v>
      </c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</row>
    <row r="86" spans="1:150" ht="17" thickBot="1" x14ac:dyDescent="0.25">
      <c r="B86" s="11" t="s">
        <v>88</v>
      </c>
      <c r="C86" s="18">
        <v>2015</v>
      </c>
      <c r="D86" s="12" t="s">
        <v>139</v>
      </c>
      <c r="E86" s="72" t="s">
        <v>322</v>
      </c>
      <c r="F86" s="35" t="s">
        <v>158</v>
      </c>
      <c r="G86" s="39" t="s">
        <v>364</v>
      </c>
      <c r="H86" s="54" t="s">
        <v>360</v>
      </c>
      <c r="I86" s="19">
        <v>11</v>
      </c>
      <c r="J86" s="80">
        <f>I86/(2017-C86)</f>
        <v>5.5</v>
      </c>
      <c r="K86" s="9" t="s">
        <v>188</v>
      </c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</row>
    <row r="87" spans="1:150" ht="19" customHeight="1" thickBot="1" x14ac:dyDescent="0.25">
      <c r="B87" s="11" t="s">
        <v>6</v>
      </c>
      <c r="C87" s="18">
        <v>2016</v>
      </c>
      <c r="D87" s="12" t="s">
        <v>137</v>
      </c>
      <c r="E87" s="41" t="s">
        <v>328</v>
      </c>
      <c r="F87" s="36" t="s">
        <v>160</v>
      </c>
      <c r="G87" s="45" t="s">
        <v>366</v>
      </c>
      <c r="H87" s="54" t="s">
        <v>360</v>
      </c>
      <c r="I87" s="19">
        <v>1</v>
      </c>
      <c r="J87" s="80">
        <f>I87/(2017-C87)</f>
        <v>1</v>
      </c>
      <c r="K87" s="101" t="s">
        <v>270</v>
      </c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</row>
    <row r="88" spans="1:150" ht="17" thickBot="1" x14ac:dyDescent="0.25">
      <c r="B88" s="11" t="s">
        <v>2</v>
      </c>
      <c r="C88" s="18">
        <v>2013</v>
      </c>
      <c r="D88" s="12" t="s">
        <v>139</v>
      </c>
      <c r="E88" s="70" t="s">
        <v>320</v>
      </c>
      <c r="F88" s="60" t="s">
        <v>165</v>
      </c>
      <c r="G88" s="39" t="s">
        <v>364</v>
      </c>
      <c r="H88" s="50" t="s">
        <v>363</v>
      </c>
      <c r="I88" s="19">
        <v>44</v>
      </c>
      <c r="J88" s="80">
        <f>I88/(2017-C88)</f>
        <v>11</v>
      </c>
      <c r="K88" s="9" t="s">
        <v>210</v>
      </c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</row>
    <row r="89" spans="1:150" ht="17" thickBot="1" x14ac:dyDescent="0.25">
      <c r="B89" s="11" t="s">
        <v>2</v>
      </c>
      <c r="C89" s="18">
        <v>2015</v>
      </c>
      <c r="D89" s="12" t="s">
        <v>139</v>
      </c>
      <c r="E89" s="72" t="s">
        <v>322</v>
      </c>
      <c r="F89" s="34" t="s">
        <v>157</v>
      </c>
      <c r="G89" s="45" t="s">
        <v>366</v>
      </c>
      <c r="H89" s="55" t="s">
        <v>404</v>
      </c>
      <c r="I89" s="19">
        <v>28</v>
      </c>
      <c r="J89" s="80">
        <f>I89/(2017-C89)</f>
        <v>14</v>
      </c>
      <c r="K89" s="9" t="s">
        <v>194</v>
      </c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</row>
    <row r="90" spans="1:150" ht="17" thickBot="1" x14ac:dyDescent="0.25">
      <c r="B90" s="11" t="s">
        <v>12</v>
      </c>
      <c r="C90" s="18">
        <v>2011</v>
      </c>
      <c r="D90" s="12" t="s">
        <v>137</v>
      </c>
      <c r="E90" s="41" t="s">
        <v>328</v>
      </c>
      <c r="F90" s="38" t="s">
        <v>159</v>
      </c>
      <c r="G90" s="45" t="s">
        <v>366</v>
      </c>
      <c r="H90" s="54" t="s">
        <v>360</v>
      </c>
      <c r="I90" s="19">
        <v>10</v>
      </c>
      <c r="J90" s="80">
        <f>I90/(2017-C90)</f>
        <v>1.6666666666666667</v>
      </c>
      <c r="K90" s="9" t="s">
        <v>273</v>
      </c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</row>
    <row r="91" spans="1:150" ht="17" thickBot="1" x14ac:dyDescent="0.25">
      <c r="A91" s="1"/>
      <c r="B91" s="11" t="s">
        <v>9</v>
      </c>
      <c r="C91" s="19">
        <v>2016</v>
      </c>
      <c r="D91" s="12" t="s">
        <v>139</v>
      </c>
      <c r="E91" s="69" t="s">
        <v>319</v>
      </c>
      <c r="F91" s="33" t="s">
        <v>166</v>
      </c>
      <c r="G91" s="45" t="s">
        <v>366</v>
      </c>
      <c r="H91" s="50" t="s">
        <v>363</v>
      </c>
      <c r="I91" s="19">
        <v>5</v>
      </c>
      <c r="J91" s="80">
        <f>I91/(2017-C91)</f>
        <v>5</v>
      </c>
      <c r="K91" s="101" t="s">
        <v>437</v>
      </c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</row>
    <row r="92" spans="1:150" ht="17" thickBot="1" x14ac:dyDescent="0.25">
      <c r="B92" s="11" t="s">
        <v>4</v>
      </c>
      <c r="C92" s="18">
        <v>2015</v>
      </c>
      <c r="D92" s="12" t="s">
        <v>137</v>
      </c>
      <c r="E92" s="75" t="s">
        <v>406</v>
      </c>
      <c r="F92" s="36" t="s">
        <v>160</v>
      </c>
      <c r="G92" s="45" t="s">
        <v>366</v>
      </c>
      <c r="H92" s="56" t="s">
        <v>164</v>
      </c>
      <c r="I92" s="19">
        <v>12</v>
      </c>
      <c r="J92" s="80">
        <f>I92/(2017-C92)</f>
        <v>6</v>
      </c>
      <c r="K92" s="9" t="s">
        <v>271</v>
      </c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</row>
    <row r="93" spans="1:150" ht="16" customHeight="1" thickBot="1" x14ac:dyDescent="0.25">
      <c r="B93" s="11" t="s">
        <v>27</v>
      </c>
      <c r="C93" s="18">
        <v>2014</v>
      </c>
      <c r="D93" s="12" t="s">
        <v>137</v>
      </c>
      <c r="E93" s="41" t="s">
        <v>328</v>
      </c>
      <c r="F93" s="36" t="s">
        <v>160</v>
      </c>
      <c r="G93" s="45" t="s">
        <v>366</v>
      </c>
      <c r="H93" s="54" t="s">
        <v>360</v>
      </c>
      <c r="I93" s="19">
        <v>3</v>
      </c>
      <c r="J93" s="80">
        <f>I93/(2017-C93)</f>
        <v>1</v>
      </c>
      <c r="K93" s="9" t="s">
        <v>274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</row>
    <row r="94" spans="1:150" ht="17" thickBot="1" x14ac:dyDescent="0.25">
      <c r="A94" s="1"/>
      <c r="B94" s="11" t="s">
        <v>86</v>
      </c>
      <c r="C94" s="19">
        <v>2016</v>
      </c>
      <c r="D94" s="12" t="s">
        <v>137</v>
      </c>
      <c r="E94" s="102" t="s">
        <v>413</v>
      </c>
      <c r="F94" s="36" t="s">
        <v>160</v>
      </c>
      <c r="G94" s="47" t="s">
        <v>365</v>
      </c>
      <c r="H94" s="55" t="s">
        <v>404</v>
      </c>
      <c r="I94" s="19">
        <v>0</v>
      </c>
      <c r="J94" s="80">
        <f>I94/(2017-C94)</f>
        <v>0</v>
      </c>
      <c r="K94" s="101" t="s">
        <v>422</v>
      </c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</row>
    <row r="95" spans="1:150" ht="17" thickBot="1" x14ac:dyDescent="0.25">
      <c r="B95" s="11" t="s">
        <v>8</v>
      </c>
      <c r="C95" s="18">
        <v>2015</v>
      </c>
      <c r="D95" s="96" t="s">
        <v>137</v>
      </c>
      <c r="E95" s="41" t="s">
        <v>328</v>
      </c>
      <c r="F95" s="38" t="s">
        <v>159</v>
      </c>
      <c r="G95" s="45" t="s">
        <v>366</v>
      </c>
      <c r="H95" s="55" t="s">
        <v>404</v>
      </c>
      <c r="I95" s="19">
        <v>2</v>
      </c>
      <c r="J95" s="80">
        <f>I95/(2017-C95)</f>
        <v>1</v>
      </c>
      <c r="K95" s="9" t="s">
        <v>382</v>
      </c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</row>
    <row r="96" spans="1:150" ht="16" customHeight="1" thickBot="1" x14ac:dyDescent="0.25">
      <c r="A96" s="1"/>
      <c r="B96" s="11" t="s">
        <v>102</v>
      </c>
      <c r="C96" s="19">
        <v>2016</v>
      </c>
      <c r="D96" s="12" t="s">
        <v>139</v>
      </c>
      <c r="E96" s="71" t="s">
        <v>321</v>
      </c>
      <c r="F96" s="35" t="s">
        <v>158</v>
      </c>
      <c r="G96" s="39" t="s">
        <v>364</v>
      </c>
      <c r="H96" s="55" t="s">
        <v>404</v>
      </c>
      <c r="I96" s="19">
        <v>1</v>
      </c>
      <c r="J96" s="80">
        <f>I96/(2017-C96)</f>
        <v>1</v>
      </c>
      <c r="K96" s="101" t="s">
        <v>420</v>
      </c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</row>
    <row r="97" spans="1:148" ht="17" thickBot="1" x14ac:dyDescent="0.25">
      <c r="B97" s="11" t="s">
        <v>23</v>
      </c>
      <c r="C97" s="18">
        <v>2015</v>
      </c>
      <c r="D97" s="12" t="s">
        <v>137</v>
      </c>
      <c r="E97" s="76" t="s">
        <v>149</v>
      </c>
      <c r="F97" s="36" t="s">
        <v>160</v>
      </c>
      <c r="G97" s="48" t="s">
        <v>368</v>
      </c>
      <c r="H97" s="51" t="s">
        <v>361</v>
      </c>
      <c r="I97" s="19">
        <v>9</v>
      </c>
      <c r="J97" s="80">
        <f>I97/(2017-C97)</f>
        <v>4.5</v>
      </c>
      <c r="K97" s="9" t="s">
        <v>283</v>
      </c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</row>
    <row r="98" spans="1:148" ht="17" thickBot="1" x14ac:dyDescent="0.25">
      <c r="B98" s="11" t="s">
        <v>10</v>
      </c>
      <c r="C98" s="18">
        <v>2008</v>
      </c>
      <c r="D98" s="12" t="s">
        <v>137</v>
      </c>
      <c r="E98" s="41" t="s">
        <v>328</v>
      </c>
      <c r="F98" s="34" t="s">
        <v>157</v>
      </c>
      <c r="G98" s="45" t="s">
        <v>366</v>
      </c>
      <c r="H98" s="55" t="s">
        <v>404</v>
      </c>
      <c r="I98" s="19">
        <v>18</v>
      </c>
      <c r="J98" s="80">
        <f>I98/(2017-C98)</f>
        <v>2</v>
      </c>
      <c r="K98" s="9" t="s">
        <v>260</v>
      </c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</row>
    <row r="99" spans="1:148" ht="17" thickBot="1" x14ac:dyDescent="0.25">
      <c r="A99" s="1"/>
      <c r="B99" s="11" t="s">
        <v>95</v>
      </c>
      <c r="C99" s="19">
        <v>2016</v>
      </c>
      <c r="D99" s="12" t="s">
        <v>139</v>
      </c>
      <c r="E99" s="71" t="s">
        <v>321</v>
      </c>
      <c r="F99" s="33" t="s">
        <v>166</v>
      </c>
      <c r="G99" s="45" t="s">
        <v>366</v>
      </c>
      <c r="H99" s="54" t="s">
        <v>360</v>
      </c>
      <c r="I99" s="19">
        <v>0</v>
      </c>
      <c r="J99" s="80">
        <f>I99/(2017-C99)</f>
        <v>0</v>
      </c>
      <c r="K99" s="101" t="s">
        <v>434</v>
      </c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</row>
    <row r="100" spans="1:148" ht="16" customHeight="1" thickBot="1" x14ac:dyDescent="0.25">
      <c r="A100" s="1"/>
      <c r="B100" s="11" t="s">
        <v>2</v>
      </c>
      <c r="C100" s="19">
        <v>2016</v>
      </c>
      <c r="D100" s="12" t="s">
        <v>139</v>
      </c>
      <c r="E100" s="70" t="s">
        <v>320</v>
      </c>
      <c r="F100" s="33" t="s">
        <v>166</v>
      </c>
      <c r="G100" s="45" t="s">
        <v>366</v>
      </c>
      <c r="H100" s="54" t="s">
        <v>360</v>
      </c>
      <c r="I100" s="19">
        <v>19</v>
      </c>
      <c r="J100" s="80">
        <f>I100/(2017-C100)</f>
        <v>19</v>
      </c>
      <c r="K100" s="101" t="s">
        <v>389</v>
      </c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</row>
    <row r="101" spans="1:148" ht="17" thickBot="1" x14ac:dyDescent="0.25">
      <c r="B101" s="11" t="s">
        <v>3</v>
      </c>
      <c r="C101" s="18">
        <v>2014</v>
      </c>
      <c r="D101" s="12" t="s">
        <v>137</v>
      </c>
      <c r="E101" s="41" t="s">
        <v>328</v>
      </c>
      <c r="F101" s="39" t="s">
        <v>161</v>
      </c>
      <c r="G101" s="45" t="s">
        <v>366</v>
      </c>
      <c r="H101" s="50" t="s">
        <v>363</v>
      </c>
      <c r="I101" s="19">
        <v>13</v>
      </c>
      <c r="J101" s="80">
        <f>I101/(2017-C101)</f>
        <v>4.333333333333333</v>
      </c>
      <c r="K101" s="9" t="s">
        <v>245</v>
      </c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</row>
    <row r="102" spans="1:148" ht="17" thickBot="1" x14ac:dyDescent="0.25">
      <c r="B102" s="11" t="s">
        <v>94</v>
      </c>
      <c r="C102" s="18">
        <v>2011</v>
      </c>
      <c r="D102" s="12" t="s">
        <v>138</v>
      </c>
      <c r="E102" s="54" t="s">
        <v>326</v>
      </c>
      <c r="F102" s="36" t="s">
        <v>160</v>
      </c>
      <c r="G102" s="45" t="s">
        <v>366</v>
      </c>
      <c r="H102" s="55" t="s">
        <v>404</v>
      </c>
      <c r="I102" s="19">
        <v>2</v>
      </c>
      <c r="J102" s="80">
        <f>I102/(2017-C102)</f>
        <v>0.33333333333333331</v>
      </c>
      <c r="K102" s="9" t="s">
        <v>301</v>
      </c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</row>
    <row r="103" spans="1:148" ht="17" thickBot="1" x14ac:dyDescent="0.25">
      <c r="B103" s="11" t="s">
        <v>36</v>
      </c>
      <c r="C103" s="18">
        <v>2013</v>
      </c>
      <c r="D103" s="12" t="s">
        <v>139</v>
      </c>
      <c r="E103" s="71" t="s">
        <v>321</v>
      </c>
      <c r="F103" s="39" t="s">
        <v>161</v>
      </c>
      <c r="G103" s="81" t="s">
        <v>367</v>
      </c>
      <c r="H103" s="55" t="s">
        <v>404</v>
      </c>
      <c r="I103" s="19">
        <v>55</v>
      </c>
      <c r="J103" s="80">
        <f>I103/(2017-C103)</f>
        <v>13.75</v>
      </c>
      <c r="K103" s="9" t="s">
        <v>221</v>
      </c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</row>
    <row r="104" spans="1:148" ht="17" thickBot="1" x14ac:dyDescent="0.25">
      <c r="B104" s="11" t="s">
        <v>2</v>
      </c>
      <c r="C104" s="18">
        <v>2013</v>
      </c>
      <c r="D104" s="12" t="s">
        <v>139</v>
      </c>
      <c r="E104" s="69" t="s">
        <v>319</v>
      </c>
      <c r="F104" s="39" t="s">
        <v>161</v>
      </c>
      <c r="G104" s="46" t="s">
        <v>367</v>
      </c>
      <c r="H104" s="55" t="s">
        <v>404</v>
      </c>
      <c r="I104" s="19">
        <v>45</v>
      </c>
      <c r="J104" s="80">
        <f>I104/(2017-C104)</f>
        <v>11.25</v>
      </c>
      <c r="K104" s="9" t="s">
        <v>220</v>
      </c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</row>
    <row r="105" spans="1:148" ht="16" customHeight="1" thickBot="1" x14ac:dyDescent="0.25">
      <c r="A105" s="1"/>
      <c r="B105" s="11" t="s">
        <v>395</v>
      </c>
      <c r="C105" s="19">
        <v>2016</v>
      </c>
      <c r="D105" s="12" t="s">
        <v>139</v>
      </c>
      <c r="E105" s="73" t="s">
        <v>323</v>
      </c>
      <c r="F105" s="35" t="s">
        <v>158</v>
      </c>
      <c r="G105" s="81" t="s">
        <v>367</v>
      </c>
      <c r="H105" s="50" t="s">
        <v>363</v>
      </c>
      <c r="I105" s="19">
        <v>2</v>
      </c>
      <c r="J105" s="80">
        <f>I105/(2017-C105)</f>
        <v>2</v>
      </c>
      <c r="K105" s="101" t="s">
        <v>433</v>
      </c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</row>
    <row r="106" spans="1:148" ht="16" customHeight="1" thickBot="1" x14ac:dyDescent="0.25">
      <c r="A106" s="1"/>
      <c r="B106" s="11" t="s">
        <v>2</v>
      </c>
      <c r="C106" s="19">
        <v>2017</v>
      </c>
      <c r="D106" s="12" t="s">
        <v>137</v>
      </c>
      <c r="E106" s="41" t="s">
        <v>328</v>
      </c>
      <c r="F106" s="36" t="s">
        <v>160</v>
      </c>
      <c r="G106" s="45" t="s">
        <v>366</v>
      </c>
      <c r="H106" s="54" t="s">
        <v>360</v>
      </c>
      <c r="I106" s="19">
        <v>0</v>
      </c>
      <c r="J106" s="80">
        <v>0</v>
      </c>
      <c r="K106" s="103" t="s">
        <v>448</v>
      </c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</row>
    <row r="107" spans="1:148" ht="17" thickBot="1" x14ac:dyDescent="0.25">
      <c r="A107" s="1"/>
      <c r="B107" s="11" t="s">
        <v>102</v>
      </c>
      <c r="C107" s="19">
        <v>2016</v>
      </c>
      <c r="D107" s="84" t="s">
        <v>315</v>
      </c>
      <c r="E107" s="48" t="s">
        <v>316</v>
      </c>
      <c r="F107" s="39" t="s">
        <v>161</v>
      </c>
      <c r="G107" s="45" t="s">
        <v>366</v>
      </c>
      <c r="H107" s="55" t="s">
        <v>404</v>
      </c>
      <c r="I107" s="19">
        <v>0</v>
      </c>
      <c r="J107" s="80">
        <f>I107/(2017-C107)</f>
        <v>0</v>
      </c>
      <c r="K107" s="101" t="s">
        <v>424</v>
      </c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</row>
    <row r="108" spans="1:148" ht="17" thickBot="1" x14ac:dyDescent="0.25">
      <c r="B108" s="11" t="s">
        <v>141</v>
      </c>
      <c r="C108" s="61">
        <v>2009</v>
      </c>
      <c r="D108" s="12" t="s">
        <v>137</v>
      </c>
      <c r="E108" s="40" t="s">
        <v>329</v>
      </c>
      <c r="F108" s="36" t="s">
        <v>160</v>
      </c>
      <c r="G108" s="81" t="s">
        <v>367</v>
      </c>
      <c r="H108" s="56" t="s">
        <v>164</v>
      </c>
      <c r="I108" s="19">
        <v>49</v>
      </c>
      <c r="J108" s="80">
        <f>I108/(2017-C108)</f>
        <v>6.125</v>
      </c>
      <c r="K108" s="9" t="s">
        <v>257</v>
      </c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</row>
    <row r="109" spans="1:148" ht="17" thickBot="1" x14ac:dyDescent="0.25">
      <c r="B109" s="11" t="s">
        <v>33</v>
      </c>
      <c r="C109" s="18">
        <v>2013</v>
      </c>
      <c r="D109" s="12" t="s">
        <v>139</v>
      </c>
      <c r="E109" s="67" t="s">
        <v>318</v>
      </c>
      <c r="F109" s="60" t="s">
        <v>165</v>
      </c>
      <c r="G109" s="45" t="s">
        <v>366</v>
      </c>
      <c r="H109" s="54" t="s">
        <v>360</v>
      </c>
      <c r="I109" s="19">
        <v>18</v>
      </c>
      <c r="J109" s="80">
        <f>I109/(2017-C109)</f>
        <v>4.5</v>
      </c>
      <c r="K109" s="9" t="s">
        <v>213</v>
      </c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</row>
    <row r="110" spans="1:148" ht="17" thickBot="1" x14ac:dyDescent="0.25">
      <c r="A110" s="1"/>
      <c r="B110" s="11" t="s">
        <v>2</v>
      </c>
      <c r="C110" s="19">
        <v>2016</v>
      </c>
      <c r="D110" s="84" t="s">
        <v>139</v>
      </c>
      <c r="E110" s="67" t="s">
        <v>318</v>
      </c>
      <c r="F110" s="39" t="s">
        <v>161</v>
      </c>
      <c r="G110" s="45" t="s">
        <v>366</v>
      </c>
      <c r="H110" s="55" t="s">
        <v>404</v>
      </c>
      <c r="I110" s="19">
        <v>3</v>
      </c>
      <c r="J110" s="80">
        <f>I110/(2017-C110)</f>
        <v>3</v>
      </c>
      <c r="K110" s="101" t="s">
        <v>438</v>
      </c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</row>
    <row r="111" spans="1:148" ht="16" customHeight="1" thickBot="1" x14ac:dyDescent="0.25">
      <c r="B111" s="11" t="s">
        <v>108</v>
      </c>
      <c r="C111" s="18">
        <v>2009</v>
      </c>
      <c r="D111" s="12" t="s">
        <v>139</v>
      </c>
      <c r="E111" s="72" t="s">
        <v>322</v>
      </c>
      <c r="F111" s="35" t="s">
        <v>158</v>
      </c>
      <c r="G111" s="39" t="s">
        <v>364</v>
      </c>
      <c r="H111" s="50" t="s">
        <v>363</v>
      </c>
      <c r="I111" s="74">
        <v>84</v>
      </c>
      <c r="J111" s="80">
        <f>I111/(2017-C111)</f>
        <v>10.5</v>
      </c>
      <c r="K111" s="9" t="s">
        <v>183</v>
      </c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</row>
    <row r="112" spans="1:148" ht="17" thickBot="1" x14ac:dyDescent="0.25">
      <c r="B112" s="11" t="s">
        <v>25</v>
      </c>
      <c r="C112" s="18">
        <v>2013</v>
      </c>
      <c r="D112" s="12" t="s">
        <v>139</v>
      </c>
      <c r="E112" s="69" t="s">
        <v>319</v>
      </c>
      <c r="F112" s="60" t="s">
        <v>165</v>
      </c>
      <c r="G112" s="39" t="s">
        <v>364</v>
      </c>
      <c r="H112" s="50" t="s">
        <v>363</v>
      </c>
      <c r="I112" s="19">
        <v>37</v>
      </c>
      <c r="J112" s="80">
        <f>I112/(2017-C112)</f>
        <v>9.25</v>
      </c>
      <c r="K112" s="9" t="s">
        <v>211</v>
      </c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</row>
    <row r="113" spans="1:148" ht="17" thickBot="1" x14ac:dyDescent="0.25">
      <c r="B113" s="11" t="s">
        <v>110</v>
      </c>
      <c r="C113" s="18">
        <v>2008</v>
      </c>
      <c r="D113" s="12" t="s">
        <v>139</v>
      </c>
      <c r="E113" s="67" t="s">
        <v>318</v>
      </c>
      <c r="F113" s="33" t="s">
        <v>166</v>
      </c>
      <c r="G113" s="45" t="s">
        <v>366</v>
      </c>
      <c r="H113" s="50" t="s">
        <v>363</v>
      </c>
      <c r="I113" s="19">
        <v>214</v>
      </c>
      <c r="J113" s="80">
        <f>I113/(2017-C113)</f>
        <v>23.777777777777779</v>
      </c>
      <c r="K113" s="9" t="s">
        <v>256</v>
      </c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</row>
    <row r="114" spans="1:148" ht="17" thickBot="1" x14ac:dyDescent="0.25">
      <c r="B114" s="11" t="s">
        <v>18</v>
      </c>
      <c r="C114" s="18">
        <v>2007</v>
      </c>
      <c r="D114" s="12" t="s">
        <v>139</v>
      </c>
      <c r="E114" s="67" t="s">
        <v>318</v>
      </c>
      <c r="F114" s="34" t="s">
        <v>157</v>
      </c>
      <c r="G114" s="45" t="s">
        <v>366</v>
      </c>
      <c r="H114" s="50" t="s">
        <v>363</v>
      </c>
      <c r="I114" s="19">
        <v>19</v>
      </c>
      <c r="J114" s="80">
        <f>I114/(2017-C114)</f>
        <v>1.9</v>
      </c>
      <c r="K114" s="9" t="s">
        <v>314</v>
      </c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</row>
    <row r="115" spans="1:148" ht="16" customHeight="1" thickBot="1" x14ac:dyDescent="0.25">
      <c r="B115" s="11" t="s">
        <v>98</v>
      </c>
      <c r="C115" s="18">
        <v>2013</v>
      </c>
      <c r="D115" s="12" t="s">
        <v>138</v>
      </c>
      <c r="E115" s="54" t="s">
        <v>326</v>
      </c>
      <c r="F115" s="36" t="s">
        <v>160</v>
      </c>
      <c r="G115" s="45" t="s">
        <v>366</v>
      </c>
      <c r="H115" s="55" t="s">
        <v>404</v>
      </c>
      <c r="I115" s="19">
        <v>53</v>
      </c>
      <c r="J115" s="80">
        <f>I115/(2017-C115)</f>
        <v>13.25</v>
      </c>
      <c r="K115" s="9" t="s">
        <v>288</v>
      </c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</row>
    <row r="116" spans="1:148" ht="17" thickBot="1" x14ac:dyDescent="0.25">
      <c r="A116" s="1"/>
      <c r="B116" s="11" t="s">
        <v>2</v>
      </c>
      <c r="C116" s="19">
        <v>2017</v>
      </c>
      <c r="D116" s="94" t="s">
        <v>139</v>
      </c>
      <c r="E116" s="69" t="s">
        <v>319</v>
      </c>
      <c r="F116" s="39" t="s">
        <v>161</v>
      </c>
      <c r="G116" s="45" t="s">
        <v>366</v>
      </c>
      <c r="H116" s="54" t="s">
        <v>360</v>
      </c>
      <c r="I116" s="19">
        <v>2</v>
      </c>
      <c r="J116" s="80">
        <v>2</v>
      </c>
      <c r="K116" s="101" t="s">
        <v>445</v>
      </c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</row>
    <row r="117" spans="1:148" ht="16" customHeight="1" thickBot="1" x14ac:dyDescent="0.25">
      <c r="B117" s="11" t="s">
        <v>2</v>
      </c>
      <c r="C117" s="18">
        <v>2011</v>
      </c>
      <c r="D117" s="12" t="s">
        <v>315</v>
      </c>
      <c r="E117" s="46" t="s">
        <v>317</v>
      </c>
      <c r="F117" s="39" t="s">
        <v>161</v>
      </c>
      <c r="G117" s="45" t="s">
        <v>366</v>
      </c>
      <c r="H117" s="54" t="s">
        <v>360</v>
      </c>
      <c r="I117" s="19">
        <v>53</v>
      </c>
      <c r="J117" s="80">
        <f>I117/(2017-C117)</f>
        <v>8.8333333333333339</v>
      </c>
      <c r="K117" s="9" t="s">
        <v>177</v>
      </c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</row>
    <row r="118" spans="1:148" ht="17" thickBot="1" x14ac:dyDescent="0.25">
      <c r="B118" s="11" t="s">
        <v>3</v>
      </c>
      <c r="C118" s="18">
        <v>2007</v>
      </c>
      <c r="D118" s="12" t="s">
        <v>138</v>
      </c>
      <c r="E118" s="54" t="s">
        <v>326</v>
      </c>
      <c r="F118" s="35" t="s">
        <v>158</v>
      </c>
      <c r="G118" s="45" t="s">
        <v>366</v>
      </c>
      <c r="H118" s="51" t="s">
        <v>361</v>
      </c>
      <c r="I118" s="19">
        <v>47</v>
      </c>
      <c r="J118" s="80">
        <f>I118/(2017-C118)</f>
        <v>4.7</v>
      </c>
      <c r="K118" s="9" t="s">
        <v>290</v>
      </c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</row>
    <row r="119" spans="1:148" ht="17" thickBot="1" x14ac:dyDescent="0.25">
      <c r="B119" s="11" t="s">
        <v>13</v>
      </c>
      <c r="C119" s="18">
        <v>2010</v>
      </c>
      <c r="D119" s="12" t="s">
        <v>137</v>
      </c>
      <c r="E119" s="40" t="s">
        <v>329</v>
      </c>
      <c r="F119" s="36" t="s">
        <v>160</v>
      </c>
      <c r="G119" s="48" t="s">
        <v>368</v>
      </c>
      <c r="H119" s="51" t="s">
        <v>361</v>
      </c>
      <c r="I119" s="19">
        <v>41</v>
      </c>
      <c r="J119" s="80">
        <f>I119/(2017-C119)</f>
        <v>5.8571428571428568</v>
      </c>
      <c r="K119" s="9" t="s">
        <v>263</v>
      </c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</row>
    <row r="120" spans="1:148" ht="16" customHeight="1" thickBot="1" x14ac:dyDescent="0.25">
      <c r="A120" s="1"/>
      <c r="B120" s="11" t="s">
        <v>98</v>
      </c>
      <c r="C120" s="19">
        <v>2016</v>
      </c>
      <c r="D120" s="12" t="s">
        <v>137</v>
      </c>
      <c r="E120" s="102" t="s">
        <v>413</v>
      </c>
      <c r="F120" s="36" t="s">
        <v>160</v>
      </c>
      <c r="G120" s="45" t="s">
        <v>366</v>
      </c>
      <c r="H120" s="54" t="s">
        <v>360</v>
      </c>
      <c r="I120" s="19">
        <v>1</v>
      </c>
      <c r="J120" s="80">
        <f>I120/(2017-C120)</f>
        <v>1</v>
      </c>
      <c r="K120" s="101" t="s">
        <v>421</v>
      </c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</row>
    <row r="121" spans="1:148" ht="17" thickBot="1" x14ac:dyDescent="0.25">
      <c r="A121" s="1"/>
      <c r="B121" s="11" t="s">
        <v>132</v>
      </c>
      <c r="C121" s="19">
        <v>2016</v>
      </c>
      <c r="D121" s="12" t="s">
        <v>137</v>
      </c>
      <c r="E121" s="102" t="s">
        <v>413</v>
      </c>
      <c r="F121" s="36" t="s">
        <v>160</v>
      </c>
      <c r="G121" s="48" t="s">
        <v>368</v>
      </c>
      <c r="H121" s="51" t="s">
        <v>361</v>
      </c>
      <c r="I121" s="19">
        <v>0</v>
      </c>
      <c r="J121" s="80">
        <f>I121/(2017-C121)</f>
        <v>0</v>
      </c>
      <c r="K121" s="101" t="s">
        <v>423</v>
      </c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</row>
    <row r="122" spans="1:148" ht="17" thickBot="1" x14ac:dyDescent="0.25">
      <c r="B122" s="11" t="s">
        <v>3</v>
      </c>
      <c r="C122" s="18">
        <v>2014</v>
      </c>
      <c r="D122" s="12" t="s">
        <v>137</v>
      </c>
      <c r="E122" s="75" t="s">
        <v>406</v>
      </c>
      <c r="F122" s="60" t="s">
        <v>165</v>
      </c>
      <c r="G122" s="47" t="s">
        <v>365</v>
      </c>
      <c r="H122" s="50" t="s">
        <v>363</v>
      </c>
      <c r="I122" s="19">
        <v>13</v>
      </c>
      <c r="J122" s="80">
        <f>I122/(2017-C122)</f>
        <v>4.333333333333333</v>
      </c>
      <c r="K122" s="9" t="s">
        <v>219</v>
      </c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</row>
    <row r="123" spans="1:148" ht="17" thickBot="1" x14ac:dyDescent="0.25">
      <c r="A123" s="1"/>
      <c r="B123" s="11" t="s">
        <v>396</v>
      </c>
      <c r="C123" s="19">
        <v>2016</v>
      </c>
      <c r="D123" s="12" t="s">
        <v>315</v>
      </c>
      <c r="E123" s="48" t="s">
        <v>316</v>
      </c>
      <c r="F123" s="39" t="s">
        <v>161</v>
      </c>
      <c r="G123" s="45" t="s">
        <v>366</v>
      </c>
      <c r="H123" s="55" t="s">
        <v>404</v>
      </c>
      <c r="I123" s="19">
        <v>0</v>
      </c>
      <c r="J123" s="80">
        <f>I123/(2017-C123)</f>
        <v>0</v>
      </c>
      <c r="K123" s="101" t="s">
        <v>416</v>
      </c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</row>
    <row r="124" spans="1:148" ht="16" customHeight="1" thickBot="1" x14ac:dyDescent="0.25">
      <c r="B124" s="11" t="s">
        <v>25</v>
      </c>
      <c r="C124" s="18">
        <v>2015</v>
      </c>
      <c r="D124" s="96" t="s">
        <v>139</v>
      </c>
      <c r="E124" s="69" t="s">
        <v>319</v>
      </c>
      <c r="F124" s="60" t="s">
        <v>165</v>
      </c>
      <c r="G124" s="39" t="s">
        <v>364</v>
      </c>
      <c r="H124" s="50" t="s">
        <v>363</v>
      </c>
      <c r="I124" s="19">
        <v>15</v>
      </c>
      <c r="J124" s="80">
        <f>I124/(2017-C124)</f>
        <v>7.5</v>
      </c>
      <c r="K124" s="9" t="s">
        <v>370</v>
      </c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</row>
    <row r="125" spans="1:148" ht="17" thickBot="1" x14ac:dyDescent="0.25">
      <c r="B125" s="11" t="s">
        <v>2</v>
      </c>
      <c r="C125" s="18">
        <v>2013</v>
      </c>
      <c r="D125" s="82" t="s">
        <v>137</v>
      </c>
      <c r="E125" s="127" t="s">
        <v>330</v>
      </c>
      <c r="F125" s="37" t="s">
        <v>159</v>
      </c>
      <c r="G125" s="44" t="s">
        <v>140</v>
      </c>
      <c r="H125" s="55" t="s">
        <v>404</v>
      </c>
      <c r="I125" s="19">
        <v>26</v>
      </c>
      <c r="J125" s="80">
        <f>I125/(2017-C125)</f>
        <v>6.5</v>
      </c>
      <c r="K125" s="9" t="s">
        <v>276</v>
      </c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</row>
    <row r="126" spans="1:148" ht="17" thickBot="1" x14ac:dyDescent="0.25">
      <c r="B126" s="11" t="s">
        <v>1</v>
      </c>
      <c r="C126" s="18">
        <v>2009</v>
      </c>
      <c r="D126" s="82" t="s">
        <v>137</v>
      </c>
      <c r="E126" s="41" t="s">
        <v>328</v>
      </c>
      <c r="F126" s="38" t="s">
        <v>159</v>
      </c>
      <c r="G126" s="48" t="s">
        <v>368</v>
      </c>
      <c r="H126" s="39" t="s">
        <v>362</v>
      </c>
      <c r="I126" s="19">
        <v>15</v>
      </c>
      <c r="J126" s="80">
        <f>I126/(2017-C126)</f>
        <v>1.875</v>
      </c>
      <c r="K126" s="9" t="s">
        <v>280</v>
      </c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</row>
    <row r="127" spans="1:148" ht="17" thickBot="1" x14ac:dyDescent="0.25">
      <c r="B127" s="11" t="s">
        <v>97</v>
      </c>
      <c r="C127" s="18">
        <v>2010</v>
      </c>
      <c r="D127" s="12" t="s">
        <v>139</v>
      </c>
      <c r="E127" s="72" t="s">
        <v>322</v>
      </c>
      <c r="F127" s="35" t="s">
        <v>158</v>
      </c>
      <c r="G127" s="39" t="s">
        <v>364</v>
      </c>
      <c r="H127" s="55" t="s">
        <v>404</v>
      </c>
      <c r="I127" s="19">
        <v>15</v>
      </c>
      <c r="J127" s="80">
        <f>I127/(2017-C127)</f>
        <v>2.1428571428571428</v>
      </c>
      <c r="K127" s="9" t="s">
        <v>215</v>
      </c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</row>
    <row r="128" spans="1:148" ht="16" customHeight="1" thickBot="1" x14ac:dyDescent="0.25">
      <c r="A128" s="1"/>
      <c r="B128" s="11" t="s">
        <v>30</v>
      </c>
      <c r="C128" s="19">
        <v>2016</v>
      </c>
      <c r="D128" s="12" t="s">
        <v>139</v>
      </c>
      <c r="E128" s="72" t="s">
        <v>322</v>
      </c>
      <c r="F128" s="35" t="s">
        <v>158</v>
      </c>
      <c r="G128" s="39" t="s">
        <v>364</v>
      </c>
      <c r="H128" s="50" t="s">
        <v>363</v>
      </c>
      <c r="I128" s="19">
        <v>0</v>
      </c>
      <c r="J128" s="80">
        <f>I128/(2017-C128)</f>
        <v>0</v>
      </c>
      <c r="K128" s="101" t="s">
        <v>436</v>
      </c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</row>
    <row r="129" spans="1:148" ht="16" customHeight="1" thickBot="1" x14ac:dyDescent="0.25">
      <c r="B129" s="11" t="s">
        <v>25</v>
      </c>
      <c r="C129" s="18">
        <v>2011</v>
      </c>
      <c r="D129" s="12" t="s">
        <v>315</v>
      </c>
      <c r="E129" s="48" t="s">
        <v>316</v>
      </c>
      <c r="F129" s="39" t="s">
        <v>161</v>
      </c>
      <c r="G129" s="45" t="s">
        <v>366</v>
      </c>
      <c r="H129" s="54" t="s">
        <v>360</v>
      </c>
      <c r="I129" s="19">
        <v>67</v>
      </c>
      <c r="J129" s="80">
        <f>I129/(2017-C129)</f>
        <v>11.166666666666666</v>
      </c>
      <c r="K129" s="9" t="s">
        <v>226</v>
      </c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</row>
    <row r="130" spans="1:148" ht="17" thickBot="1" x14ac:dyDescent="0.25">
      <c r="B130" s="11" t="s">
        <v>80</v>
      </c>
      <c r="C130" s="18">
        <v>2011</v>
      </c>
      <c r="D130" s="12" t="s">
        <v>139</v>
      </c>
      <c r="E130" s="72" t="s">
        <v>322</v>
      </c>
      <c r="F130" s="35" t="s">
        <v>158</v>
      </c>
      <c r="G130" s="39" t="s">
        <v>364</v>
      </c>
      <c r="H130" s="39" t="s">
        <v>362</v>
      </c>
      <c r="I130" s="19">
        <v>11</v>
      </c>
      <c r="J130" s="80">
        <f>I130/(2017-C130)</f>
        <v>1.8333333333333333</v>
      </c>
      <c r="K130" s="9" t="s">
        <v>373</v>
      </c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</row>
    <row r="131" spans="1:148" ht="17" thickBot="1" x14ac:dyDescent="0.25">
      <c r="B131" s="11" t="s">
        <v>2</v>
      </c>
      <c r="C131" s="18">
        <v>2009</v>
      </c>
      <c r="D131" s="12" t="s">
        <v>139</v>
      </c>
      <c r="E131" s="67" t="s">
        <v>318</v>
      </c>
      <c r="F131" s="33" t="s">
        <v>166</v>
      </c>
      <c r="G131" s="39" t="s">
        <v>364</v>
      </c>
      <c r="H131" s="50" t="s">
        <v>363</v>
      </c>
      <c r="I131" s="74">
        <v>233</v>
      </c>
      <c r="J131" s="80">
        <f>I131/(2017-C131)</f>
        <v>29.125</v>
      </c>
      <c r="K131" s="9" t="s">
        <v>173</v>
      </c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</row>
    <row r="132" spans="1:148" ht="17" thickBot="1" x14ac:dyDescent="0.25">
      <c r="A132" s="1"/>
      <c r="B132" s="11" t="s">
        <v>2</v>
      </c>
      <c r="C132" s="19">
        <v>2016</v>
      </c>
      <c r="D132" s="94" t="s">
        <v>139</v>
      </c>
      <c r="E132" s="71" t="s">
        <v>321</v>
      </c>
      <c r="F132" s="39" t="s">
        <v>161</v>
      </c>
      <c r="G132" s="39" t="s">
        <v>364</v>
      </c>
      <c r="H132" s="50" t="s">
        <v>363</v>
      </c>
      <c r="I132" s="19">
        <v>5</v>
      </c>
      <c r="J132" s="80">
        <f>I132/(2017-C132)</f>
        <v>5</v>
      </c>
      <c r="K132" s="101" t="s">
        <v>429</v>
      </c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</row>
    <row r="133" spans="1:148" ht="16" customHeight="1" thickBot="1" x14ac:dyDescent="0.25">
      <c r="A133" s="1"/>
      <c r="B133" s="11" t="s">
        <v>2</v>
      </c>
      <c r="C133" s="19">
        <v>2016</v>
      </c>
      <c r="D133" s="12" t="s">
        <v>139</v>
      </c>
      <c r="E133" s="70" t="s">
        <v>320</v>
      </c>
      <c r="F133" s="33" t="s">
        <v>166</v>
      </c>
      <c r="G133" s="39" t="s">
        <v>364</v>
      </c>
      <c r="H133" s="50" t="s">
        <v>363</v>
      </c>
      <c r="I133" s="19">
        <v>6</v>
      </c>
      <c r="J133" s="80">
        <f>I133/(2017-C133)</f>
        <v>6</v>
      </c>
      <c r="K133" s="101" t="s">
        <v>427</v>
      </c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</row>
    <row r="134" spans="1:148" ht="16" customHeight="1" thickBot="1" x14ac:dyDescent="0.25">
      <c r="A134" s="1"/>
      <c r="B134" s="11" t="s">
        <v>397</v>
      </c>
      <c r="C134" s="19">
        <v>2016</v>
      </c>
      <c r="D134" s="12" t="s">
        <v>315</v>
      </c>
      <c r="E134" s="46" t="s">
        <v>317</v>
      </c>
      <c r="F134" s="60" t="s">
        <v>165</v>
      </c>
      <c r="G134" s="39" t="s">
        <v>364</v>
      </c>
      <c r="H134" s="50" t="s">
        <v>363</v>
      </c>
      <c r="I134" s="19">
        <v>2</v>
      </c>
      <c r="J134" s="80">
        <f>I134/(2017-C134)</f>
        <v>2</v>
      </c>
      <c r="K134" s="101" t="s">
        <v>415</v>
      </c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</row>
    <row r="135" spans="1:148" ht="16" customHeight="1" thickBot="1" x14ac:dyDescent="0.25">
      <c r="B135" s="11" t="s">
        <v>82</v>
      </c>
      <c r="C135" s="18">
        <v>2012</v>
      </c>
      <c r="D135" s="12" t="s">
        <v>139</v>
      </c>
      <c r="E135" s="70" t="s">
        <v>320</v>
      </c>
      <c r="F135" s="34" t="s">
        <v>157</v>
      </c>
      <c r="G135" s="45" t="s">
        <v>366</v>
      </c>
      <c r="H135" s="50" t="s">
        <v>363</v>
      </c>
      <c r="I135" s="19">
        <v>10</v>
      </c>
      <c r="J135" s="80">
        <f>I135/(2017-C135)</f>
        <v>2</v>
      </c>
      <c r="K135" s="9" t="s">
        <v>308</v>
      </c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</row>
    <row r="136" spans="1:148" ht="17" thickBot="1" x14ac:dyDescent="0.25">
      <c r="A136" s="1"/>
      <c r="B136" s="11" t="s">
        <v>398</v>
      </c>
      <c r="C136" s="19">
        <v>2016</v>
      </c>
      <c r="D136" s="12" t="s">
        <v>139</v>
      </c>
      <c r="E136" s="72" t="s">
        <v>322</v>
      </c>
      <c r="F136" s="35" t="s">
        <v>158</v>
      </c>
      <c r="G136" s="45" t="s">
        <v>366</v>
      </c>
      <c r="H136" s="55" t="s">
        <v>404</v>
      </c>
      <c r="I136" s="19">
        <v>8</v>
      </c>
      <c r="J136" s="80">
        <f>I136/(2017-C136)</f>
        <v>8</v>
      </c>
      <c r="K136" s="101" t="s">
        <v>426</v>
      </c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</row>
    <row r="137" spans="1:148" ht="17" thickBot="1" x14ac:dyDescent="0.25">
      <c r="B137" s="11" t="s">
        <v>130</v>
      </c>
      <c r="C137" s="18">
        <v>2007</v>
      </c>
      <c r="D137" s="12" t="s">
        <v>137</v>
      </c>
      <c r="E137" s="41" t="s">
        <v>328</v>
      </c>
      <c r="F137" s="38" t="s">
        <v>159</v>
      </c>
      <c r="G137" s="48" t="s">
        <v>368</v>
      </c>
      <c r="H137" s="55" t="s">
        <v>404</v>
      </c>
      <c r="I137" s="19">
        <v>60</v>
      </c>
      <c r="J137" s="80">
        <f>I137/(2017-C137)</f>
        <v>6</v>
      </c>
      <c r="K137" s="9" t="s">
        <v>247</v>
      </c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</row>
    <row r="138" spans="1:148" ht="16" customHeight="1" thickBot="1" x14ac:dyDescent="0.25">
      <c r="B138" s="11" t="s">
        <v>84</v>
      </c>
      <c r="C138" s="18">
        <v>2012</v>
      </c>
      <c r="D138" s="12" t="s">
        <v>137</v>
      </c>
      <c r="E138" s="41" t="s">
        <v>328</v>
      </c>
      <c r="F138" s="38" t="s">
        <v>159</v>
      </c>
      <c r="G138" s="47" t="s">
        <v>365</v>
      </c>
      <c r="H138" s="50" t="s">
        <v>363</v>
      </c>
      <c r="I138" s="19">
        <v>6</v>
      </c>
      <c r="J138" s="80">
        <f>I138/(2017-C138)</f>
        <v>1.2</v>
      </c>
      <c r="K138" s="9" t="s">
        <v>268</v>
      </c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</row>
    <row r="139" spans="1:148" ht="17" thickBot="1" x14ac:dyDescent="0.25">
      <c r="B139" s="11" t="s">
        <v>6</v>
      </c>
      <c r="C139" s="18">
        <v>2014</v>
      </c>
      <c r="D139" s="82" t="s">
        <v>137</v>
      </c>
      <c r="E139" s="40" t="s">
        <v>329</v>
      </c>
      <c r="F139" s="36" t="s">
        <v>160</v>
      </c>
      <c r="G139" s="47" t="s">
        <v>365</v>
      </c>
      <c r="H139" s="55" t="s">
        <v>404</v>
      </c>
      <c r="I139" s="19">
        <v>5</v>
      </c>
      <c r="J139" s="80">
        <f>I139/(2017-C139)</f>
        <v>1.6666666666666667</v>
      </c>
      <c r="K139" s="9" t="s">
        <v>289</v>
      </c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</row>
    <row r="140" spans="1:148" ht="17" thickBot="1" x14ac:dyDescent="0.25">
      <c r="B140" s="11" t="s">
        <v>87</v>
      </c>
      <c r="C140" s="18">
        <v>2013</v>
      </c>
      <c r="D140" s="82" t="s">
        <v>139</v>
      </c>
      <c r="E140" s="73" t="s">
        <v>323</v>
      </c>
      <c r="F140" s="36" t="s">
        <v>160</v>
      </c>
      <c r="G140" s="45" t="s">
        <v>366</v>
      </c>
      <c r="H140" s="55" t="s">
        <v>404</v>
      </c>
      <c r="I140" s="19">
        <v>14</v>
      </c>
      <c r="J140" s="80">
        <f>I140/(2017-C140)</f>
        <v>3.5</v>
      </c>
      <c r="K140" s="9" t="s">
        <v>195</v>
      </c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</row>
    <row r="141" spans="1:148" ht="16" customHeight="1" thickBot="1" x14ac:dyDescent="0.25">
      <c r="B141" s="11" t="s">
        <v>3</v>
      </c>
      <c r="C141" s="18">
        <v>2015</v>
      </c>
      <c r="D141" s="12" t="s">
        <v>137</v>
      </c>
      <c r="E141" s="75" t="s">
        <v>406</v>
      </c>
      <c r="F141" s="36" t="s">
        <v>160</v>
      </c>
      <c r="G141" s="45" t="s">
        <v>366</v>
      </c>
      <c r="H141" s="55" t="s">
        <v>404</v>
      </c>
      <c r="I141" s="19">
        <v>3</v>
      </c>
      <c r="J141" s="80">
        <f>I141/(2017-C141)</f>
        <v>1.5</v>
      </c>
      <c r="K141" s="9" t="s">
        <v>295</v>
      </c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</row>
    <row r="142" spans="1:148" ht="17" thickBot="1" x14ac:dyDescent="0.25">
      <c r="B142" s="11" t="s">
        <v>119</v>
      </c>
      <c r="C142" s="18">
        <v>2014</v>
      </c>
      <c r="D142" s="12" t="s">
        <v>137</v>
      </c>
      <c r="E142" s="75" t="s">
        <v>406</v>
      </c>
      <c r="F142" s="38" t="s">
        <v>159</v>
      </c>
      <c r="G142" s="45" t="s">
        <v>366</v>
      </c>
      <c r="H142" s="55" t="s">
        <v>404</v>
      </c>
      <c r="I142" s="19">
        <v>12</v>
      </c>
      <c r="J142" s="80">
        <f>I142/(2017-C142)</f>
        <v>4</v>
      </c>
      <c r="K142" s="9" t="s">
        <v>296</v>
      </c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</row>
    <row r="143" spans="1:148" ht="16" customHeight="1" thickBot="1" x14ac:dyDescent="0.25">
      <c r="B143" s="11" t="s">
        <v>28</v>
      </c>
      <c r="C143" s="18">
        <v>2014</v>
      </c>
      <c r="D143" s="12" t="s">
        <v>138</v>
      </c>
      <c r="E143" s="50" t="s">
        <v>325</v>
      </c>
      <c r="F143" s="39" t="s">
        <v>161</v>
      </c>
      <c r="G143" s="39" t="s">
        <v>364</v>
      </c>
      <c r="H143" s="50" t="s">
        <v>363</v>
      </c>
      <c r="I143" s="19">
        <v>20</v>
      </c>
      <c r="J143" s="80">
        <f>I143/(2017-C143)</f>
        <v>6.666666666666667</v>
      </c>
      <c r="K143" s="9" t="s">
        <v>224</v>
      </c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</row>
    <row r="144" spans="1:148" ht="17" thickBot="1" x14ac:dyDescent="0.25">
      <c r="B144" s="11" t="s">
        <v>18</v>
      </c>
      <c r="C144" s="18">
        <v>2010</v>
      </c>
      <c r="D144" s="84" t="s">
        <v>139</v>
      </c>
      <c r="E144" s="69" t="s">
        <v>319</v>
      </c>
      <c r="F144" s="60" t="s">
        <v>165</v>
      </c>
      <c r="G144" s="39" t="s">
        <v>364</v>
      </c>
      <c r="H144" s="55" t="s">
        <v>404</v>
      </c>
      <c r="I144" s="19">
        <v>1</v>
      </c>
      <c r="J144" s="80">
        <f>I144/(2017-C144)</f>
        <v>0.14285714285714285</v>
      </c>
      <c r="K144" s="9" t="s">
        <v>233</v>
      </c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</row>
    <row r="145" spans="1:148" ht="17" thickBot="1" x14ac:dyDescent="0.25">
      <c r="B145" s="11" t="s">
        <v>129</v>
      </c>
      <c r="C145" s="18">
        <v>2011</v>
      </c>
      <c r="D145" s="12" t="s">
        <v>315</v>
      </c>
      <c r="E145" s="48" t="s">
        <v>316</v>
      </c>
      <c r="F145" s="39" t="s">
        <v>161</v>
      </c>
      <c r="G145" s="45" t="s">
        <v>366</v>
      </c>
      <c r="H145" s="54" t="s">
        <v>360</v>
      </c>
      <c r="I145" s="19">
        <v>191</v>
      </c>
      <c r="J145" s="80">
        <f>I145/(2017-C145)</f>
        <v>31.833333333333332</v>
      </c>
      <c r="K145" s="9" t="s">
        <v>227</v>
      </c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</row>
    <row r="146" spans="1:148" ht="17" thickBot="1" x14ac:dyDescent="0.25">
      <c r="A146" s="1"/>
      <c r="B146" s="11" t="s">
        <v>399</v>
      </c>
      <c r="C146" s="19">
        <v>2016</v>
      </c>
      <c r="D146" s="12" t="s">
        <v>139</v>
      </c>
      <c r="E146" s="70" t="s">
        <v>320</v>
      </c>
      <c r="F146" s="39" t="s">
        <v>161</v>
      </c>
      <c r="G146" s="39" t="s">
        <v>364</v>
      </c>
      <c r="H146" s="50" t="s">
        <v>363</v>
      </c>
      <c r="I146" s="19">
        <v>5</v>
      </c>
      <c r="J146" s="80">
        <f>I146/(2017-C146)</f>
        <v>5</v>
      </c>
      <c r="K146" s="101" t="s">
        <v>428</v>
      </c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</row>
    <row r="147" spans="1:148" ht="17" thickBot="1" x14ac:dyDescent="0.25">
      <c r="B147" s="11" t="s">
        <v>122</v>
      </c>
      <c r="C147" s="18">
        <v>2015</v>
      </c>
      <c r="D147" s="12" t="s">
        <v>139</v>
      </c>
      <c r="E147" s="71" t="s">
        <v>321</v>
      </c>
      <c r="F147" s="33" t="s">
        <v>166</v>
      </c>
      <c r="G147" s="39" t="s">
        <v>364</v>
      </c>
      <c r="H147" s="50" t="s">
        <v>363</v>
      </c>
      <c r="I147" s="19">
        <v>4</v>
      </c>
      <c r="J147" s="80">
        <f>I147/(2017-C147)</f>
        <v>2</v>
      </c>
      <c r="K147" s="9" t="s">
        <v>170</v>
      </c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</row>
    <row r="148" spans="1:148" ht="17" thickBot="1" x14ac:dyDescent="0.25">
      <c r="B148" s="11" t="s">
        <v>131</v>
      </c>
      <c r="C148" s="18">
        <v>2015</v>
      </c>
      <c r="D148" s="82" t="s">
        <v>139</v>
      </c>
      <c r="E148" s="71" t="s">
        <v>321</v>
      </c>
      <c r="F148" s="36" t="s">
        <v>160</v>
      </c>
      <c r="G148" s="81" t="s">
        <v>367</v>
      </c>
      <c r="H148" s="50" t="s">
        <v>363</v>
      </c>
      <c r="I148" s="19">
        <v>22</v>
      </c>
      <c r="J148" s="80">
        <f>I148/(2017-C148)</f>
        <v>11</v>
      </c>
      <c r="K148" s="9" t="s">
        <v>186</v>
      </c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</row>
    <row r="149" spans="1:148" ht="17" thickBot="1" x14ac:dyDescent="0.25">
      <c r="B149" s="11" t="s">
        <v>106</v>
      </c>
      <c r="C149" s="18">
        <v>2014</v>
      </c>
      <c r="D149" s="82" t="s">
        <v>139</v>
      </c>
      <c r="E149" s="67" t="s">
        <v>318</v>
      </c>
      <c r="F149" s="39" t="s">
        <v>161</v>
      </c>
      <c r="G149" s="45" t="s">
        <v>366</v>
      </c>
      <c r="H149" s="54" t="s">
        <v>360</v>
      </c>
      <c r="I149" s="19">
        <v>1</v>
      </c>
      <c r="J149" s="80">
        <f>I149/(2017-C149)</f>
        <v>0.33333333333333331</v>
      </c>
      <c r="K149" s="9" t="s">
        <v>235</v>
      </c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</row>
    <row r="150" spans="1:148" ht="17" thickBot="1" x14ac:dyDescent="0.25">
      <c r="A150" s="1"/>
      <c r="B150" s="11" t="s">
        <v>400</v>
      </c>
      <c r="C150" s="19">
        <v>2016</v>
      </c>
      <c r="D150" s="12" t="s">
        <v>139</v>
      </c>
      <c r="E150" s="73" t="s">
        <v>323</v>
      </c>
      <c r="F150" s="33" t="s">
        <v>166</v>
      </c>
      <c r="G150" s="45" t="s">
        <v>366</v>
      </c>
      <c r="H150" s="55" t="s">
        <v>404</v>
      </c>
      <c r="I150" s="19">
        <v>3</v>
      </c>
      <c r="J150" s="80">
        <f>I150/(2017-C150)</f>
        <v>3</v>
      </c>
      <c r="K150" s="101" t="s">
        <v>432</v>
      </c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</row>
    <row r="151" spans="1:148" ht="17" thickBot="1" x14ac:dyDescent="0.25">
      <c r="B151" s="11" t="s">
        <v>19</v>
      </c>
      <c r="C151" s="18">
        <v>2012</v>
      </c>
      <c r="D151" s="82" t="s">
        <v>315</v>
      </c>
      <c r="E151" s="46" t="s">
        <v>317</v>
      </c>
      <c r="F151" s="39" t="s">
        <v>161</v>
      </c>
      <c r="G151" s="45" t="s">
        <v>366</v>
      </c>
      <c r="H151" s="54" t="s">
        <v>360</v>
      </c>
      <c r="I151" s="19">
        <v>12</v>
      </c>
      <c r="J151" s="80">
        <f>I151/(2017-C151)</f>
        <v>2.4</v>
      </c>
      <c r="K151" s="9" t="s">
        <v>345</v>
      </c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</row>
    <row r="152" spans="1:148" ht="17" thickBot="1" x14ac:dyDescent="0.25">
      <c r="B152" s="11" t="s">
        <v>114</v>
      </c>
      <c r="C152" s="18">
        <v>2014</v>
      </c>
      <c r="D152" s="12" t="s">
        <v>137</v>
      </c>
      <c r="E152" s="40" t="s">
        <v>329</v>
      </c>
      <c r="F152" s="36" t="s">
        <v>160</v>
      </c>
      <c r="G152" s="81" t="s">
        <v>367</v>
      </c>
      <c r="H152" s="55" t="s">
        <v>404</v>
      </c>
      <c r="I152" s="19">
        <v>20</v>
      </c>
      <c r="J152" s="80">
        <f>I152/(2017-C152)</f>
        <v>6.666666666666667</v>
      </c>
      <c r="K152" s="9" t="s">
        <v>261</v>
      </c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</row>
    <row r="153" spans="1:148" ht="15" customHeight="1" thickBot="1" x14ac:dyDescent="0.25">
      <c r="B153" s="11" t="s">
        <v>114</v>
      </c>
      <c r="C153" s="18">
        <v>2015</v>
      </c>
      <c r="D153" s="82" t="s">
        <v>137</v>
      </c>
      <c r="E153" s="97" t="s">
        <v>328</v>
      </c>
      <c r="F153" s="130" t="s">
        <v>159</v>
      </c>
      <c r="G153" s="131" t="s">
        <v>367</v>
      </c>
      <c r="H153" s="86" t="s">
        <v>360</v>
      </c>
      <c r="I153" s="19">
        <v>3</v>
      </c>
      <c r="J153" s="80">
        <f>I153/(2017-C153)</f>
        <v>1.5</v>
      </c>
      <c r="K153" s="9" t="s">
        <v>266</v>
      </c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</row>
    <row r="154" spans="1:148" ht="17" thickBot="1" x14ac:dyDescent="0.25">
      <c r="B154" s="11" t="s">
        <v>99</v>
      </c>
      <c r="C154" s="18">
        <v>2007</v>
      </c>
      <c r="D154" s="82" t="s">
        <v>138</v>
      </c>
      <c r="E154" s="86" t="s">
        <v>326</v>
      </c>
      <c r="F154" s="59" t="s">
        <v>168</v>
      </c>
      <c r="G154" s="39" t="s">
        <v>364</v>
      </c>
      <c r="H154" s="54" t="s">
        <v>360</v>
      </c>
      <c r="I154" s="74">
        <v>64</v>
      </c>
      <c r="J154" s="80">
        <f>I154/(2017-C154)</f>
        <v>6.4</v>
      </c>
      <c r="K154" s="9" t="s">
        <v>313</v>
      </c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</row>
    <row r="155" spans="1:148" ht="17" thickBot="1" x14ac:dyDescent="0.25">
      <c r="B155" s="11" t="s">
        <v>100</v>
      </c>
      <c r="C155" s="18">
        <v>2011</v>
      </c>
      <c r="D155" s="96" t="s">
        <v>139</v>
      </c>
      <c r="E155" s="70" t="s">
        <v>320</v>
      </c>
      <c r="F155" s="33" t="s">
        <v>166</v>
      </c>
      <c r="G155" s="39" t="s">
        <v>364</v>
      </c>
      <c r="H155" s="50" t="s">
        <v>363</v>
      </c>
      <c r="I155" s="19">
        <v>4</v>
      </c>
      <c r="J155" s="80">
        <f>I155/(2017-C155)</f>
        <v>0.66666666666666663</v>
      </c>
      <c r="K155" s="9" t="s">
        <v>171</v>
      </c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</row>
    <row r="156" spans="1:148" ht="17" thickBot="1" x14ac:dyDescent="0.25">
      <c r="B156" s="11" t="s">
        <v>104</v>
      </c>
      <c r="C156" s="18">
        <v>2015</v>
      </c>
      <c r="D156" s="82" t="s">
        <v>139</v>
      </c>
      <c r="E156" s="129" t="s">
        <v>320</v>
      </c>
      <c r="F156" s="60" t="s">
        <v>165</v>
      </c>
      <c r="G156" s="39" t="s">
        <v>364</v>
      </c>
      <c r="H156" s="50" t="s">
        <v>363</v>
      </c>
      <c r="I156" s="19">
        <v>0</v>
      </c>
      <c r="J156" s="80">
        <f>I156/(2017-C156)</f>
        <v>0</v>
      </c>
      <c r="K156" s="9" t="s">
        <v>237</v>
      </c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</row>
    <row r="157" spans="1:148" ht="17" thickBot="1" x14ac:dyDescent="0.25">
      <c r="A157" s="1"/>
      <c r="B157" s="11" t="s">
        <v>401</v>
      </c>
      <c r="C157" s="19">
        <v>2017</v>
      </c>
      <c r="D157" s="82" t="s">
        <v>138</v>
      </c>
      <c r="E157" s="50" t="s">
        <v>325</v>
      </c>
      <c r="F157" s="36" t="s">
        <v>160</v>
      </c>
      <c r="G157" s="45" t="s">
        <v>366</v>
      </c>
      <c r="H157" s="50" t="s">
        <v>363</v>
      </c>
      <c r="I157" s="19">
        <v>0</v>
      </c>
      <c r="J157" s="80">
        <v>0</v>
      </c>
      <c r="K157" s="101" t="s">
        <v>454</v>
      </c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</row>
    <row r="158" spans="1:148" ht="17" thickBot="1" x14ac:dyDescent="0.25">
      <c r="B158" s="11" t="s">
        <v>29</v>
      </c>
      <c r="C158" s="18">
        <v>2012</v>
      </c>
      <c r="D158" s="82" t="s">
        <v>315</v>
      </c>
      <c r="E158" s="48" t="s">
        <v>316</v>
      </c>
      <c r="F158" s="39" t="s">
        <v>161</v>
      </c>
      <c r="G158" s="45" t="s">
        <v>366</v>
      </c>
      <c r="H158" s="54" t="s">
        <v>360</v>
      </c>
      <c r="I158" s="19">
        <v>23</v>
      </c>
      <c r="J158" s="80">
        <f>I158/(2017-C158)</f>
        <v>4.5999999999999996</v>
      </c>
      <c r="K158" s="9" t="s">
        <v>223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</row>
    <row r="159" spans="1:148" ht="17" thickBot="1" x14ac:dyDescent="0.25">
      <c r="B159" s="11" t="s">
        <v>7</v>
      </c>
      <c r="C159" s="18">
        <v>2015</v>
      </c>
      <c r="D159" s="82" t="s">
        <v>139</v>
      </c>
      <c r="E159" s="69" t="s">
        <v>319</v>
      </c>
      <c r="F159" s="33" t="s">
        <v>166</v>
      </c>
      <c r="G159" s="46" t="s">
        <v>367</v>
      </c>
      <c r="H159" s="51" t="s">
        <v>361</v>
      </c>
      <c r="I159" s="19">
        <v>2</v>
      </c>
      <c r="J159" s="80">
        <f>I159/(2017-C159)</f>
        <v>1</v>
      </c>
      <c r="K159" s="101" t="s">
        <v>182</v>
      </c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</row>
    <row r="160" spans="1:148" ht="17" thickBot="1" x14ac:dyDescent="0.25">
      <c r="B160" s="11" t="s">
        <v>2</v>
      </c>
      <c r="C160" s="18">
        <v>2015</v>
      </c>
      <c r="D160" s="94" t="s">
        <v>137</v>
      </c>
      <c r="E160" s="41" t="s">
        <v>328</v>
      </c>
      <c r="F160" s="36" t="s">
        <v>160</v>
      </c>
      <c r="G160" s="48" t="s">
        <v>368</v>
      </c>
      <c r="H160" s="95" t="s">
        <v>361</v>
      </c>
      <c r="I160" s="19">
        <v>31</v>
      </c>
      <c r="J160" s="80">
        <f>I160/(2017-C160)</f>
        <v>15.5</v>
      </c>
      <c r="K160" s="9" t="s">
        <v>281</v>
      </c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</row>
    <row r="161" spans="1:148" ht="17" thickBot="1" x14ac:dyDescent="0.25">
      <c r="B161" s="11" t="s">
        <v>2</v>
      </c>
      <c r="C161" s="18">
        <v>2007</v>
      </c>
      <c r="D161" s="82" t="s">
        <v>137</v>
      </c>
      <c r="E161" s="42" t="s">
        <v>330</v>
      </c>
      <c r="F161" s="34" t="s">
        <v>157</v>
      </c>
      <c r="G161" s="81" t="s">
        <v>367</v>
      </c>
      <c r="H161" s="54" t="s">
        <v>360</v>
      </c>
      <c r="I161" s="74">
        <v>314</v>
      </c>
      <c r="J161" s="80">
        <f>I161/(2017-C161)</f>
        <v>31.4</v>
      </c>
      <c r="K161" s="9" t="s">
        <v>255</v>
      </c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</row>
    <row r="162" spans="1:148" ht="17" thickBot="1" x14ac:dyDescent="0.25">
      <c r="A162" s="1"/>
      <c r="B162" s="11" t="s">
        <v>402</v>
      </c>
      <c r="C162" s="19">
        <v>2016</v>
      </c>
      <c r="D162" s="82" t="s">
        <v>139</v>
      </c>
      <c r="E162" s="71" t="s">
        <v>321</v>
      </c>
      <c r="F162" s="33" t="s">
        <v>166</v>
      </c>
      <c r="G162" s="39" t="s">
        <v>364</v>
      </c>
      <c r="H162" s="50" t="s">
        <v>363</v>
      </c>
      <c r="I162" s="19">
        <v>0</v>
      </c>
      <c r="J162" s="80">
        <f>I162/(2017-C162)</f>
        <v>0</v>
      </c>
      <c r="K162" s="101" t="s">
        <v>435</v>
      </c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</row>
    <row r="163" spans="1:148" ht="17" thickBot="1" x14ac:dyDescent="0.25">
      <c r="B163" s="11" t="s">
        <v>84</v>
      </c>
      <c r="C163" s="18">
        <v>2012</v>
      </c>
      <c r="D163" s="82" t="s">
        <v>139</v>
      </c>
      <c r="E163" s="70" t="s">
        <v>320</v>
      </c>
      <c r="F163" s="33" t="s">
        <v>166</v>
      </c>
      <c r="G163" s="88" t="s">
        <v>366</v>
      </c>
      <c r="H163" s="89" t="s">
        <v>363</v>
      </c>
      <c r="I163" s="74">
        <v>244</v>
      </c>
      <c r="J163" s="80">
        <f>I163/(2017-C163)</f>
        <v>48.8</v>
      </c>
      <c r="K163" s="9" t="s">
        <v>181</v>
      </c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</row>
    <row r="164" spans="1:148" ht="17" thickBot="1" x14ac:dyDescent="0.25">
      <c r="B164" s="11" t="s">
        <v>97</v>
      </c>
      <c r="C164" s="18">
        <v>2009</v>
      </c>
      <c r="D164" s="105" t="s">
        <v>139</v>
      </c>
      <c r="E164" s="71" t="s">
        <v>321</v>
      </c>
      <c r="F164" s="34" t="s">
        <v>157</v>
      </c>
      <c r="G164" s="39" t="s">
        <v>364</v>
      </c>
      <c r="H164" s="89" t="s">
        <v>363</v>
      </c>
      <c r="I164" s="19">
        <v>28</v>
      </c>
      <c r="J164" s="80">
        <f>I164/(2017-C164)</f>
        <v>3.5</v>
      </c>
      <c r="K164" s="9" t="s">
        <v>191</v>
      </c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</row>
    <row r="165" spans="1:148" ht="17" thickBot="1" x14ac:dyDescent="0.25">
      <c r="A165" s="1"/>
      <c r="B165" s="11" t="s">
        <v>2</v>
      </c>
      <c r="C165" s="19">
        <v>2017</v>
      </c>
      <c r="D165" s="82" t="s">
        <v>139</v>
      </c>
      <c r="E165" s="68" t="s">
        <v>318</v>
      </c>
      <c r="F165" s="39" t="s">
        <v>161</v>
      </c>
      <c r="G165" s="45" t="s">
        <v>366</v>
      </c>
      <c r="H165" s="55" t="s">
        <v>404</v>
      </c>
      <c r="I165" s="19">
        <v>2</v>
      </c>
      <c r="J165" s="80">
        <v>2</v>
      </c>
      <c r="K165" s="101" t="s">
        <v>450</v>
      </c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</row>
    <row r="166" spans="1:148" ht="17" thickBot="1" x14ac:dyDescent="0.25">
      <c r="A166" s="1"/>
      <c r="B166" s="11" t="s">
        <v>98</v>
      </c>
      <c r="C166" s="19">
        <v>2016</v>
      </c>
      <c r="D166" s="82" t="s">
        <v>139</v>
      </c>
      <c r="E166" s="73" t="s">
        <v>323</v>
      </c>
      <c r="F166" s="36" t="s">
        <v>160</v>
      </c>
      <c r="G166" s="47" t="s">
        <v>365</v>
      </c>
      <c r="H166" s="50" t="s">
        <v>363</v>
      </c>
      <c r="I166" s="19">
        <v>5</v>
      </c>
      <c r="J166" s="80">
        <f>I166/(2017-C166)</f>
        <v>5</v>
      </c>
      <c r="K166" s="101" t="s">
        <v>430</v>
      </c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</row>
    <row r="167" spans="1:148" ht="17" thickBot="1" x14ac:dyDescent="0.25">
      <c r="B167" s="11" t="s">
        <v>6</v>
      </c>
      <c r="C167" s="18">
        <v>2014</v>
      </c>
      <c r="D167" s="82" t="s">
        <v>137</v>
      </c>
      <c r="E167" s="40" t="s">
        <v>329</v>
      </c>
      <c r="F167" s="36" t="s">
        <v>160</v>
      </c>
      <c r="G167" s="49" t="s">
        <v>365</v>
      </c>
      <c r="H167" s="50" t="s">
        <v>363</v>
      </c>
      <c r="I167" s="19">
        <v>15</v>
      </c>
      <c r="J167" s="80">
        <f>I167/(2017-C167)</f>
        <v>5</v>
      </c>
      <c r="K167" s="9" t="s">
        <v>254</v>
      </c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</row>
    <row r="168" spans="1:148" ht="17" thickBot="1" x14ac:dyDescent="0.25">
      <c r="B168" s="11" t="s">
        <v>96</v>
      </c>
      <c r="C168" s="18">
        <v>2014</v>
      </c>
      <c r="D168" s="82" t="s">
        <v>315</v>
      </c>
      <c r="E168" s="126" t="s">
        <v>316</v>
      </c>
      <c r="F168" s="39" t="s">
        <v>161</v>
      </c>
      <c r="G168" s="88" t="s">
        <v>366</v>
      </c>
      <c r="H168" s="54" t="s">
        <v>360</v>
      </c>
      <c r="I168" s="19">
        <v>6</v>
      </c>
      <c r="J168" s="80">
        <f>I168/(2017-C168)</f>
        <v>2</v>
      </c>
      <c r="K168" s="9" t="s">
        <v>232</v>
      </c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</row>
    <row r="169" spans="1:148" ht="17" thickBot="1" x14ac:dyDescent="0.25">
      <c r="A169" s="1"/>
      <c r="B169" s="11" t="s">
        <v>2</v>
      </c>
      <c r="C169" s="19">
        <v>2017</v>
      </c>
      <c r="D169" s="82" t="s">
        <v>137</v>
      </c>
      <c r="E169" s="41" t="s">
        <v>328</v>
      </c>
      <c r="F169" s="36" t="s">
        <v>160</v>
      </c>
      <c r="G169" s="46" t="s">
        <v>367</v>
      </c>
      <c r="H169" s="55" t="s">
        <v>404</v>
      </c>
      <c r="I169" s="19">
        <v>2</v>
      </c>
      <c r="J169" s="80">
        <v>2</v>
      </c>
      <c r="K169" s="101" t="s">
        <v>446</v>
      </c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</row>
    <row r="170" spans="1:148" ht="15" customHeight="1" thickBot="1" x14ac:dyDescent="0.25">
      <c r="B170" s="11" t="s">
        <v>103</v>
      </c>
      <c r="C170" s="18">
        <v>2014</v>
      </c>
      <c r="D170" s="105" t="s">
        <v>137</v>
      </c>
      <c r="E170" s="41" t="s">
        <v>328</v>
      </c>
      <c r="F170" s="60" t="s">
        <v>165</v>
      </c>
      <c r="G170" s="88" t="s">
        <v>366</v>
      </c>
      <c r="H170" s="50" t="s">
        <v>363</v>
      </c>
      <c r="I170" s="19">
        <v>2</v>
      </c>
      <c r="J170" s="80">
        <f>I170/(2017-C170)</f>
        <v>0.66666666666666663</v>
      </c>
      <c r="K170" s="9" t="s">
        <v>267</v>
      </c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</row>
    <row r="171" spans="1:148" ht="17" thickBot="1" x14ac:dyDescent="0.25">
      <c r="B171" s="11" t="s">
        <v>2</v>
      </c>
      <c r="C171" s="18">
        <v>2015</v>
      </c>
      <c r="D171" s="82" t="s">
        <v>137</v>
      </c>
      <c r="E171" s="75" t="s">
        <v>406</v>
      </c>
      <c r="F171" s="36" t="s">
        <v>160</v>
      </c>
      <c r="G171" s="47" t="s">
        <v>365</v>
      </c>
      <c r="H171" s="54" t="s">
        <v>360</v>
      </c>
      <c r="I171" s="19">
        <v>17</v>
      </c>
      <c r="J171" s="80">
        <f>I171/(2017-C171)</f>
        <v>8.5</v>
      </c>
      <c r="K171" s="9" t="s">
        <v>284</v>
      </c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</row>
    <row r="172" spans="1:148" ht="15" customHeight="1" thickBot="1" x14ac:dyDescent="0.25">
      <c r="A172" s="1"/>
      <c r="B172" s="11" t="s">
        <v>102</v>
      </c>
      <c r="C172" s="19">
        <v>2016</v>
      </c>
      <c r="D172" s="82" t="s">
        <v>137</v>
      </c>
      <c r="E172" s="75" t="s">
        <v>406</v>
      </c>
      <c r="F172" s="36" t="s">
        <v>160</v>
      </c>
      <c r="G172" s="45" t="s">
        <v>366</v>
      </c>
      <c r="H172" s="55" t="s">
        <v>404</v>
      </c>
      <c r="I172" s="19">
        <v>3</v>
      </c>
      <c r="J172" s="80">
        <f>I172/(2017-C172)</f>
        <v>3</v>
      </c>
      <c r="K172" s="101" t="s">
        <v>419</v>
      </c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</row>
    <row r="173" spans="1:148" ht="17" thickBot="1" x14ac:dyDescent="0.25">
      <c r="B173" s="11" t="s">
        <v>2</v>
      </c>
      <c r="C173" s="18">
        <v>2010</v>
      </c>
      <c r="D173" s="82" t="s">
        <v>139</v>
      </c>
      <c r="E173" s="72" t="s">
        <v>322</v>
      </c>
      <c r="F173" s="36" t="s">
        <v>160</v>
      </c>
      <c r="G173" s="47" t="s">
        <v>365</v>
      </c>
      <c r="H173" s="39" t="s">
        <v>362</v>
      </c>
      <c r="I173" s="74">
        <v>72</v>
      </c>
      <c r="J173" s="80">
        <f>I173/(2017-C173)</f>
        <v>10.285714285714286</v>
      </c>
      <c r="K173" s="9" t="s">
        <v>241</v>
      </c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</row>
    <row r="174" spans="1:148" ht="17" thickBot="1" x14ac:dyDescent="0.25">
      <c r="B174" s="11" t="s">
        <v>24</v>
      </c>
      <c r="C174" s="18">
        <v>2014</v>
      </c>
      <c r="D174" s="82" t="s">
        <v>137</v>
      </c>
      <c r="E174" s="75" t="s">
        <v>406</v>
      </c>
      <c r="F174" s="36" t="s">
        <v>160</v>
      </c>
      <c r="G174" s="44" t="s">
        <v>140</v>
      </c>
      <c r="H174" s="50" t="s">
        <v>363</v>
      </c>
      <c r="I174" s="19">
        <v>11</v>
      </c>
      <c r="J174" s="80">
        <f>I174/(2017-C174)</f>
        <v>3.6666666666666665</v>
      </c>
      <c r="K174" s="9" t="s">
        <v>279</v>
      </c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</row>
    <row r="175" spans="1:148" ht="17" thickBot="1" x14ac:dyDescent="0.25">
      <c r="B175" s="11" t="s">
        <v>125</v>
      </c>
      <c r="C175" s="18">
        <v>2012</v>
      </c>
      <c r="D175" s="82" t="s">
        <v>139</v>
      </c>
      <c r="E175" s="69" t="s">
        <v>319</v>
      </c>
      <c r="F175" s="60" t="s">
        <v>165</v>
      </c>
      <c r="G175" s="39" t="s">
        <v>364</v>
      </c>
      <c r="H175" s="50" t="s">
        <v>363</v>
      </c>
      <c r="I175" s="19">
        <v>16</v>
      </c>
      <c r="J175" s="80">
        <f>I175/(2017-C175)</f>
        <v>3.2</v>
      </c>
      <c r="K175" s="9" t="s">
        <v>214</v>
      </c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</row>
    <row r="176" spans="1:148" ht="17" thickBot="1" x14ac:dyDescent="0.25">
      <c r="B176" s="11" t="s">
        <v>125</v>
      </c>
      <c r="C176" s="18">
        <v>2015</v>
      </c>
      <c r="D176" s="82" t="s">
        <v>139</v>
      </c>
      <c r="E176" s="128" t="s">
        <v>319</v>
      </c>
      <c r="F176" s="90" t="s">
        <v>161</v>
      </c>
      <c r="G176" s="39" t="s">
        <v>364</v>
      </c>
      <c r="H176" s="50" t="s">
        <v>363</v>
      </c>
      <c r="I176" s="19">
        <v>1</v>
      </c>
      <c r="J176" s="80">
        <f>I176/(2017-C176)</f>
        <v>0.5</v>
      </c>
      <c r="K176" s="9" t="s">
        <v>238</v>
      </c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</row>
    <row r="177" spans="1:148" ht="17" thickBot="1" x14ac:dyDescent="0.25">
      <c r="B177" s="11" t="s">
        <v>105</v>
      </c>
      <c r="C177" s="18">
        <v>2012</v>
      </c>
      <c r="D177" s="82" t="s">
        <v>315</v>
      </c>
      <c r="E177" s="126" t="s">
        <v>316</v>
      </c>
      <c r="F177" s="39" t="s">
        <v>161</v>
      </c>
      <c r="G177" s="45" t="s">
        <v>366</v>
      </c>
      <c r="H177" s="54" t="s">
        <v>360</v>
      </c>
      <c r="I177" s="19">
        <v>16</v>
      </c>
      <c r="J177" s="80">
        <f>I177/(2017-C177)</f>
        <v>3.2</v>
      </c>
      <c r="K177" s="9" t="s">
        <v>222</v>
      </c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</row>
    <row r="178" spans="1:148" ht="17" thickBot="1" x14ac:dyDescent="0.25">
      <c r="B178" s="11" t="s">
        <v>109</v>
      </c>
      <c r="C178" s="18">
        <v>2009</v>
      </c>
      <c r="D178" s="94" t="s">
        <v>139</v>
      </c>
      <c r="E178" s="73" t="s">
        <v>323</v>
      </c>
      <c r="F178" s="60" t="s">
        <v>165</v>
      </c>
      <c r="G178" s="88" t="s">
        <v>366</v>
      </c>
      <c r="H178" s="89" t="s">
        <v>363</v>
      </c>
      <c r="I178" s="74">
        <v>164</v>
      </c>
      <c r="J178" s="80">
        <f>I178/(2017-C178)</f>
        <v>20.5</v>
      </c>
      <c r="K178" s="9" t="s">
        <v>239</v>
      </c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</row>
    <row r="179" spans="1:148" ht="17" thickBot="1" x14ac:dyDescent="0.25">
      <c r="B179" s="11" t="s">
        <v>120</v>
      </c>
      <c r="C179" s="18">
        <v>2014</v>
      </c>
      <c r="D179" s="94" t="s">
        <v>139</v>
      </c>
      <c r="E179" s="71" t="s">
        <v>321</v>
      </c>
      <c r="F179" s="33" t="s">
        <v>166</v>
      </c>
      <c r="G179" s="39" t="s">
        <v>364</v>
      </c>
      <c r="H179" s="50" t="s">
        <v>363</v>
      </c>
      <c r="I179" s="19">
        <v>5</v>
      </c>
      <c r="J179" s="80">
        <f>I179/(2017-C179)</f>
        <v>1.6666666666666667</v>
      </c>
      <c r="K179" s="9" t="s">
        <v>172</v>
      </c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</row>
    <row r="180" spans="1:148" ht="17" thickBot="1" x14ac:dyDescent="0.25">
      <c r="B180" s="11" t="s">
        <v>28</v>
      </c>
      <c r="C180" s="18">
        <v>2014</v>
      </c>
      <c r="D180" s="82" t="s">
        <v>138</v>
      </c>
      <c r="E180" s="89" t="s">
        <v>325</v>
      </c>
      <c r="F180" s="36" t="s">
        <v>160</v>
      </c>
      <c r="G180" s="39" t="s">
        <v>364</v>
      </c>
      <c r="H180" s="54" t="s">
        <v>360</v>
      </c>
      <c r="I180" s="19">
        <v>64</v>
      </c>
      <c r="J180" s="80">
        <f>I180/(2017-C180)</f>
        <v>21.333333333333332</v>
      </c>
      <c r="K180" s="9" t="s">
        <v>309</v>
      </c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</row>
    <row r="181" spans="1:148" ht="17" thickBot="1" x14ac:dyDescent="0.25">
      <c r="B181" s="11" t="s">
        <v>111</v>
      </c>
      <c r="C181" s="18">
        <v>2011</v>
      </c>
      <c r="D181" s="82" t="s">
        <v>137</v>
      </c>
      <c r="E181" s="125" t="s">
        <v>149</v>
      </c>
      <c r="F181" s="36" t="s">
        <v>160</v>
      </c>
      <c r="G181" s="100" t="s">
        <v>140</v>
      </c>
      <c r="H181" s="55" t="s">
        <v>404</v>
      </c>
      <c r="I181" s="19">
        <v>15</v>
      </c>
      <c r="J181" s="80">
        <f>I181/(2017-C181)</f>
        <v>2.5</v>
      </c>
      <c r="K181" s="9" t="s">
        <v>275</v>
      </c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</row>
    <row r="182" spans="1:148" ht="15" customHeight="1" thickBot="1" x14ac:dyDescent="0.25">
      <c r="B182" s="11" t="s">
        <v>86</v>
      </c>
      <c r="C182" s="18">
        <v>2014</v>
      </c>
      <c r="D182" s="82" t="s">
        <v>137</v>
      </c>
      <c r="E182" s="41" t="s">
        <v>328</v>
      </c>
      <c r="F182" s="36" t="s">
        <v>160</v>
      </c>
      <c r="G182" s="45" t="s">
        <v>366</v>
      </c>
      <c r="H182" s="55" t="s">
        <v>404</v>
      </c>
      <c r="I182" s="19">
        <v>6</v>
      </c>
      <c r="J182" s="80">
        <f>I182/(2017-C182)</f>
        <v>2</v>
      </c>
      <c r="K182" s="9" t="s">
        <v>253</v>
      </c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</row>
    <row r="183" spans="1:148" ht="17" thickBot="1" x14ac:dyDescent="0.25">
      <c r="B183" s="11" t="s">
        <v>6</v>
      </c>
      <c r="C183" s="18">
        <v>2011</v>
      </c>
      <c r="D183" s="82" t="s">
        <v>137</v>
      </c>
      <c r="E183" s="97" t="s">
        <v>328</v>
      </c>
      <c r="F183" s="98" t="s">
        <v>160</v>
      </c>
      <c r="G183" s="88" t="s">
        <v>366</v>
      </c>
      <c r="H183" s="95" t="s">
        <v>361</v>
      </c>
      <c r="I183" s="19">
        <v>52</v>
      </c>
      <c r="J183" s="80">
        <f>I183/(2017-C183)</f>
        <v>8.6666666666666661</v>
      </c>
      <c r="K183" s="9" t="s">
        <v>259</v>
      </c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</row>
    <row r="184" spans="1:148" ht="17" thickBot="1" x14ac:dyDescent="0.25">
      <c r="B184" s="11" t="s">
        <v>6</v>
      </c>
      <c r="C184" s="18">
        <v>2016</v>
      </c>
      <c r="D184" s="82" t="s">
        <v>138</v>
      </c>
      <c r="E184" s="86" t="s">
        <v>326</v>
      </c>
      <c r="F184" s="36" t="s">
        <v>160</v>
      </c>
      <c r="G184" s="45" t="s">
        <v>366</v>
      </c>
      <c r="H184" s="55" t="s">
        <v>404</v>
      </c>
      <c r="I184" s="19">
        <v>1</v>
      </c>
      <c r="J184" s="80">
        <f>I184/(2017-C184)</f>
        <v>1</v>
      </c>
      <c r="K184" s="101" t="s">
        <v>201</v>
      </c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</row>
    <row r="185" spans="1:148" ht="17" thickBot="1" x14ac:dyDescent="0.25">
      <c r="B185" s="11" t="s">
        <v>116</v>
      </c>
      <c r="C185" s="18">
        <v>2011</v>
      </c>
      <c r="D185" s="82" t="s">
        <v>137</v>
      </c>
      <c r="E185" s="42" t="s">
        <v>330</v>
      </c>
      <c r="F185" s="36" t="s">
        <v>160</v>
      </c>
      <c r="G185" s="88" t="s">
        <v>366</v>
      </c>
      <c r="H185" s="54" t="s">
        <v>360</v>
      </c>
      <c r="I185" s="19">
        <v>2</v>
      </c>
      <c r="J185" s="80">
        <f>I185/(2017-C185)</f>
        <v>0.33333333333333331</v>
      </c>
      <c r="K185" s="9" t="s">
        <v>252</v>
      </c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</row>
    <row r="186" spans="1:148" ht="17" thickBot="1" x14ac:dyDescent="0.25">
      <c r="B186" s="11" t="s">
        <v>90</v>
      </c>
      <c r="C186" s="18">
        <v>2015</v>
      </c>
      <c r="D186" s="82" t="s">
        <v>137</v>
      </c>
      <c r="E186" s="75" t="s">
        <v>406</v>
      </c>
      <c r="F186" s="36" t="s">
        <v>160</v>
      </c>
      <c r="G186" s="46" t="s">
        <v>367</v>
      </c>
      <c r="H186" s="54" t="s">
        <v>360</v>
      </c>
      <c r="I186" s="19">
        <v>0</v>
      </c>
      <c r="J186" s="80">
        <f>I186/(2017-C186)</f>
        <v>0</v>
      </c>
      <c r="K186" s="9" t="s">
        <v>306</v>
      </c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</row>
    <row r="187" spans="1:148" ht="17" thickBot="1" x14ac:dyDescent="0.25">
      <c r="B187" s="11" t="s">
        <v>113</v>
      </c>
      <c r="C187" s="18">
        <v>2014</v>
      </c>
      <c r="D187" s="82" t="s">
        <v>137</v>
      </c>
      <c r="E187" s="75" t="s">
        <v>406</v>
      </c>
      <c r="F187" s="36" t="s">
        <v>160</v>
      </c>
      <c r="G187" s="100" t="s">
        <v>140</v>
      </c>
      <c r="H187" s="55" t="s">
        <v>404</v>
      </c>
      <c r="I187" s="19">
        <v>1</v>
      </c>
      <c r="J187" s="80">
        <f>I187/(2017-C187)</f>
        <v>0.33333333333333331</v>
      </c>
      <c r="K187" s="9" t="s">
        <v>304</v>
      </c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</row>
    <row r="188" spans="1:148" ht="17" thickBot="1" x14ac:dyDescent="0.25">
      <c r="A188" s="1"/>
      <c r="B188" s="11" t="s">
        <v>3</v>
      </c>
      <c r="C188" s="19">
        <v>2016</v>
      </c>
      <c r="D188" s="82" t="s">
        <v>138</v>
      </c>
      <c r="E188" s="54" t="s">
        <v>326</v>
      </c>
      <c r="F188" s="35" t="s">
        <v>158</v>
      </c>
      <c r="G188" s="47" t="s">
        <v>365</v>
      </c>
      <c r="H188" s="50" t="s">
        <v>363</v>
      </c>
      <c r="I188" s="19">
        <v>0</v>
      </c>
      <c r="J188" s="80">
        <f>I188/(2017-C188)</f>
        <v>0</v>
      </c>
      <c r="K188" s="101" t="s">
        <v>441</v>
      </c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</row>
    <row r="189" spans="1:148" ht="17" thickBot="1" x14ac:dyDescent="0.25">
      <c r="B189" s="11" t="s">
        <v>26</v>
      </c>
      <c r="C189" s="18">
        <v>2015</v>
      </c>
      <c r="D189" s="94" t="s">
        <v>138</v>
      </c>
      <c r="E189" s="50" t="s">
        <v>325</v>
      </c>
      <c r="F189" s="60" t="s">
        <v>165</v>
      </c>
      <c r="G189" s="39" t="s">
        <v>364</v>
      </c>
      <c r="H189" s="50" t="s">
        <v>363</v>
      </c>
      <c r="I189" s="19">
        <v>20</v>
      </c>
      <c r="J189" s="80">
        <f>I189/(2017-C189)</f>
        <v>10</v>
      </c>
      <c r="K189" s="9" t="s">
        <v>414</v>
      </c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</row>
    <row r="190" spans="1:148" ht="17" thickBot="1" x14ac:dyDescent="0.25">
      <c r="B190" s="11" t="s">
        <v>22</v>
      </c>
      <c r="C190" s="18">
        <v>2008</v>
      </c>
      <c r="D190" s="82" t="s">
        <v>139</v>
      </c>
      <c r="E190" s="69" t="s">
        <v>319</v>
      </c>
      <c r="F190" s="60" t="s">
        <v>165</v>
      </c>
      <c r="G190" s="39" t="s">
        <v>364</v>
      </c>
      <c r="H190" s="50" t="s">
        <v>363</v>
      </c>
      <c r="I190" s="19">
        <v>3</v>
      </c>
      <c r="J190" s="80">
        <f>I190/(2017-C190)</f>
        <v>0.33333333333333331</v>
      </c>
      <c r="K190" s="9" t="s">
        <v>229</v>
      </c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</row>
    <row r="191" spans="1:148" ht="17" thickBot="1" x14ac:dyDescent="0.25">
      <c r="A191" s="1"/>
      <c r="B191" s="11" t="s">
        <v>127</v>
      </c>
      <c r="C191" s="19">
        <v>2016</v>
      </c>
      <c r="D191" s="82" t="s">
        <v>138</v>
      </c>
      <c r="E191" s="50" t="s">
        <v>325</v>
      </c>
      <c r="F191" s="36" t="s">
        <v>160</v>
      </c>
      <c r="G191" s="45" t="s">
        <v>366</v>
      </c>
      <c r="H191" s="54" t="s">
        <v>360</v>
      </c>
      <c r="I191" s="19">
        <v>3</v>
      </c>
      <c r="J191" s="80">
        <f>I191/(2017-C191)</f>
        <v>3</v>
      </c>
      <c r="K191" s="101" t="s">
        <v>439</v>
      </c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</row>
    <row r="192" spans="1:148" ht="17" thickBot="1" x14ac:dyDescent="0.25">
      <c r="A192" s="1"/>
      <c r="B192" s="11" t="s">
        <v>2</v>
      </c>
      <c r="C192" s="19">
        <v>2017</v>
      </c>
      <c r="D192" s="82" t="s">
        <v>138</v>
      </c>
      <c r="E192" s="50" t="s">
        <v>325</v>
      </c>
      <c r="F192" s="37" t="s">
        <v>159</v>
      </c>
      <c r="G192" s="39" t="s">
        <v>364</v>
      </c>
      <c r="H192" s="50" t="s">
        <v>363</v>
      </c>
      <c r="I192" s="19">
        <v>0</v>
      </c>
      <c r="J192" s="80">
        <v>0</v>
      </c>
      <c r="K192" s="101" t="s">
        <v>453</v>
      </c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</row>
    <row r="193" spans="1:148" ht="17" thickBot="1" x14ac:dyDescent="0.25">
      <c r="B193" s="11" t="s">
        <v>88</v>
      </c>
      <c r="C193" s="18">
        <v>2013</v>
      </c>
      <c r="D193" s="82" t="s">
        <v>137</v>
      </c>
      <c r="E193" s="40" t="s">
        <v>329</v>
      </c>
      <c r="F193" s="36" t="s">
        <v>160</v>
      </c>
      <c r="G193" s="81" t="s">
        <v>367</v>
      </c>
      <c r="H193" s="55" t="s">
        <v>404</v>
      </c>
      <c r="I193" s="19">
        <v>21</v>
      </c>
      <c r="J193" s="80">
        <f>I193/(2017-C193)</f>
        <v>5.25</v>
      </c>
      <c r="K193" s="9" t="s">
        <v>262</v>
      </c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</row>
    <row r="194" spans="1:148" ht="17" thickBot="1" x14ac:dyDescent="0.25">
      <c r="A194" s="1"/>
      <c r="B194" s="11" t="s">
        <v>2</v>
      </c>
      <c r="C194" s="19">
        <v>2017</v>
      </c>
      <c r="D194" s="82" t="s">
        <v>139</v>
      </c>
      <c r="E194" s="67" t="s">
        <v>318</v>
      </c>
      <c r="F194" s="33" t="s">
        <v>166</v>
      </c>
      <c r="G194" s="99" t="s">
        <v>367</v>
      </c>
      <c r="H194" s="50" t="s">
        <v>363</v>
      </c>
      <c r="I194" s="19">
        <v>2</v>
      </c>
      <c r="J194" s="80">
        <v>2</v>
      </c>
      <c r="K194" s="101" t="s">
        <v>451</v>
      </c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</row>
    <row r="195" spans="1:148" ht="17" thickBot="1" x14ac:dyDescent="0.25">
      <c r="B195" s="11" t="s">
        <v>16</v>
      </c>
      <c r="C195" s="18">
        <v>2012</v>
      </c>
      <c r="D195" s="82" t="s">
        <v>138</v>
      </c>
      <c r="E195" s="66" t="s">
        <v>327</v>
      </c>
      <c r="F195" s="33" t="s">
        <v>166</v>
      </c>
      <c r="G195" s="126" t="s">
        <v>368</v>
      </c>
      <c r="H195" s="51" t="s">
        <v>361</v>
      </c>
      <c r="I195" s="19">
        <v>13</v>
      </c>
      <c r="J195" s="80">
        <f>I195/(2017-C195)</f>
        <v>2.6</v>
      </c>
      <c r="K195" s="9" t="s">
        <v>216</v>
      </c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</row>
    <row r="196" spans="1:148" ht="17" thickBot="1" x14ac:dyDescent="0.25">
      <c r="B196" s="11" t="s">
        <v>15</v>
      </c>
      <c r="C196" s="18">
        <v>2014</v>
      </c>
      <c r="D196" s="82" t="s">
        <v>137</v>
      </c>
      <c r="E196" s="75" t="s">
        <v>406</v>
      </c>
      <c r="F196" s="36" t="s">
        <v>160</v>
      </c>
      <c r="G196" s="48" t="s">
        <v>368</v>
      </c>
      <c r="H196" s="51" t="s">
        <v>361</v>
      </c>
      <c r="I196" s="19">
        <v>35</v>
      </c>
      <c r="J196" s="80">
        <f>I196/(2017-C196)</f>
        <v>11.666666666666666</v>
      </c>
      <c r="K196" s="9" t="s">
        <v>282</v>
      </c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</row>
    <row r="197" spans="1:148" ht="17" thickBot="1" x14ac:dyDescent="0.25">
      <c r="A197" s="1"/>
      <c r="B197" s="11" t="s">
        <v>403</v>
      </c>
      <c r="C197" s="19">
        <v>2016</v>
      </c>
      <c r="D197" s="82" t="s">
        <v>138</v>
      </c>
      <c r="E197" s="50" t="s">
        <v>325</v>
      </c>
      <c r="F197" s="36" t="s">
        <v>160</v>
      </c>
      <c r="G197" s="49" t="s">
        <v>366</v>
      </c>
      <c r="H197" s="50" t="s">
        <v>363</v>
      </c>
      <c r="I197" s="19">
        <v>0</v>
      </c>
      <c r="J197" s="80">
        <f>I197/(2017-C197)</f>
        <v>0</v>
      </c>
      <c r="K197" s="101" t="s">
        <v>443</v>
      </c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</row>
    <row r="198" spans="1:148" s="3" customFormat="1" x14ac:dyDescent="0.2">
      <c r="B198" s="3">
        <f>COUNTA(B5:B197)</f>
        <v>193</v>
      </c>
      <c r="C198" s="19"/>
      <c r="D198" s="43"/>
      <c r="E198" s="83"/>
      <c r="F198" s="83"/>
      <c r="G198" s="87"/>
      <c r="H198" s="43"/>
      <c r="I198" s="19"/>
      <c r="J198" s="80"/>
    </row>
  </sheetData>
  <sortState ref="A22:EZ214">
    <sortCondition ref="K22:K214"/>
  </sortState>
  <conditionalFormatting sqref="F82:F83 D5:D25 D75:D83 D68:D69 D71:D73 F28:F41 F43:F47 F119:F120 D40:D41 F122:F133 E5:F13 D116:D120 F116:F117 D105:D114 F105:F114 D43:D66 F64:F66 F88:F103 F85:F86 E15:F18 F14 H99:H103 H106:H107 H109:H114 H117 H119 H121:H122 H124:H127 H129:H132 H134 H136:H137 D158 D166 D168:D169 D180 D182:D184 D192 D195 D198 D137:D150 H139:H150 D152:D154 D156 D160:D161 D85:D103 D27:D38 D122:D133">
    <cfRule type="containsText" dxfId="1161" priority="5809" operator="containsText" text="Operational">
      <formula>NOT(ISERROR(SEARCH("Operational",D5)))</formula>
    </cfRule>
    <cfRule type="containsText" dxfId="1160" priority="5810" operator="containsText" text="Tactical">
      <formula>NOT(ISERROR(SEARCH("Tactical",D5)))</formula>
    </cfRule>
    <cfRule type="cellIs" dxfId="1159" priority="5811" operator="equal">
      <formula>"Strategic"</formula>
    </cfRule>
  </conditionalFormatting>
  <conditionalFormatting sqref="F152 F198">
    <cfRule type="containsText" dxfId="1158" priority="5767" operator="containsText" text="Operational">
      <formula>NOT(ISERROR(SEARCH("Operational",F152)))</formula>
    </cfRule>
    <cfRule type="containsText" dxfId="1157" priority="5768" operator="containsText" text="Tactical">
      <formula>NOT(ISERROR(SEARCH("Tactical",F152)))</formula>
    </cfRule>
    <cfRule type="cellIs" dxfId="1156" priority="5769" operator="equal">
      <formula>"Strategic"</formula>
    </cfRule>
  </conditionalFormatting>
  <conditionalFormatting sqref="F130">
    <cfRule type="containsText" dxfId="1155" priority="5703" operator="containsText" text="Operational">
      <formula>NOT(ISERROR(SEARCH("Operational",F130)))</formula>
    </cfRule>
    <cfRule type="containsText" dxfId="1154" priority="5704" operator="containsText" text="Tactical">
      <formula>NOT(ISERROR(SEARCH("Tactical",F130)))</formula>
    </cfRule>
    <cfRule type="cellIs" dxfId="1153" priority="5705" operator="equal">
      <formula>"Strategic"</formula>
    </cfRule>
  </conditionalFormatting>
  <conditionalFormatting sqref="F141">
    <cfRule type="containsText" dxfId="1152" priority="5724" operator="containsText" text="Operational">
      <formula>NOT(ISERROR(SEARCH("Operational",F141)))</formula>
    </cfRule>
    <cfRule type="containsText" dxfId="1151" priority="5725" operator="containsText" text="Tactical">
      <formula>NOT(ISERROR(SEARCH("Tactical",F141)))</formula>
    </cfRule>
    <cfRule type="cellIs" dxfId="1150" priority="5726" operator="equal">
      <formula>"Strategic"</formula>
    </cfRule>
  </conditionalFormatting>
  <conditionalFormatting sqref="F148">
    <cfRule type="containsText" dxfId="1149" priority="5730" operator="containsText" text="Operational">
      <formula>NOT(ISERROR(SEARCH("Operational",F148)))</formula>
    </cfRule>
    <cfRule type="containsText" dxfId="1148" priority="5731" operator="containsText" text="Tactical">
      <formula>NOT(ISERROR(SEARCH("Tactical",F148)))</formula>
    </cfRule>
    <cfRule type="cellIs" dxfId="1147" priority="5732" operator="equal">
      <formula>"Strategic"</formula>
    </cfRule>
  </conditionalFormatting>
  <conditionalFormatting sqref="F137">
    <cfRule type="containsText" dxfId="1146" priority="5721" operator="containsText" text="Operational">
      <formula>NOT(ISERROR(SEARCH("Operational",F137)))</formula>
    </cfRule>
    <cfRule type="containsText" dxfId="1145" priority="5722" operator="containsText" text="Tactical">
      <formula>NOT(ISERROR(SEARCH("Tactical",F137)))</formula>
    </cfRule>
    <cfRule type="cellIs" dxfId="1144" priority="5723" operator="equal">
      <formula>"Strategic"</formula>
    </cfRule>
  </conditionalFormatting>
  <conditionalFormatting sqref="F27">
    <cfRule type="containsText" dxfId="1143" priority="5715" operator="containsText" text="Operational">
      <formula>NOT(ISERROR(SEARCH("Operational",F27)))</formula>
    </cfRule>
    <cfRule type="containsText" dxfId="1142" priority="5716" operator="containsText" text="Tactical">
      <formula>NOT(ISERROR(SEARCH("Tactical",F27)))</formula>
    </cfRule>
    <cfRule type="cellIs" dxfId="1141" priority="5717" operator="equal">
      <formula>"Strategic"</formula>
    </cfRule>
  </conditionalFormatting>
  <conditionalFormatting sqref="F114">
    <cfRule type="containsText" dxfId="1140" priority="5655" operator="containsText" text="Operational">
      <formula>NOT(ISERROR(SEARCH("Operational",F114)))</formula>
    </cfRule>
    <cfRule type="containsText" dxfId="1139" priority="5656" operator="containsText" text="Tactical">
      <formula>NOT(ISERROR(SEARCH("Tactical",F114)))</formula>
    </cfRule>
    <cfRule type="cellIs" dxfId="1138" priority="5657" operator="equal">
      <formula>"Strategic"</formula>
    </cfRule>
  </conditionalFormatting>
  <conditionalFormatting sqref="F40">
    <cfRule type="containsText" dxfId="1137" priority="5610" operator="containsText" text="Operational">
      <formula>NOT(ISERROR(SEARCH("Operational",F40)))</formula>
    </cfRule>
    <cfRule type="containsText" dxfId="1136" priority="5611" operator="containsText" text="Tactical">
      <formula>NOT(ISERROR(SEARCH("Tactical",F40)))</formula>
    </cfRule>
    <cfRule type="cellIs" dxfId="1135" priority="5612" operator="equal">
      <formula>"Strategic"</formula>
    </cfRule>
  </conditionalFormatting>
  <conditionalFormatting sqref="F27">
    <cfRule type="containsText" dxfId="1134" priority="5163" operator="containsText" text="Operational">
      <formula>NOT(ISERROR(SEARCH("Operational",F27)))</formula>
    </cfRule>
    <cfRule type="containsText" dxfId="1133" priority="5164" operator="containsText" text="Tactical">
      <formula>NOT(ISERROR(SEARCH("Tactical",F27)))</formula>
    </cfRule>
    <cfRule type="cellIs" dxfId="1132" priority="5165" operator="equal">
      <formula>"Strategic"</formula>
    </cfRule>
  </conditionalFormatting>
  <conditionalFormatting sqref="F25">
    <cfRule type="containsText" dxfId="1131" priority="4755" operator="containsText" text="Operational">
      <formula>NOT(ISERROR(SEARCH("Operational",F25)))</formula>
    </cfRule>
    <cfRule type="containsText" dxfId="1130" priority="4756" operator="containsText" text="Tactical">
      <formula>NOT(ISERROR(SEARCH("Tactical",F25)))</formula>
    </cfRule>
    <cfRule type="cellIs" dxfId="1129" priority="4757" operator="equal">
      <formula>"Strategic"</formula>
    </cfRule>
  </conditionalFormatting>
  <conditionalFormatting sqref="F120">
    <cfRule type="containsText" dxfId="1128" priority="4469" operator="containsText" text="Operational">
      <formula>NOT(ISERROR(SEARCH("Operational",F120)))</formula>
    </cfRule>
    <cfRule type="containsText" dxfId="1127" priority="4470" operator="containsText" text="Tactical">
      <formula>NOT(ISERROR(SEARCH("Tactical",F120)))</formula>
    </cfRule>
    <cfRule type="cellIs" dxfId="1126" priority="4471" operator="equal">
      <formula>"Strategic"</formula>
    </cfRule>
  </conditionalFormatting>
  <conditionalFormatting sqref="F56">
    <cfRule type="containsText" dxfId="1125" priority="4440" operator="containsText" text="Operational">
      <formula>NOT(ISERROR(SEARCH("Operational",F56)))</formula>
    </cfRule>
    <cfRule type="containsText" dxfId="1124" priority="4441" operator="containsText" text="Tactical">
      <formula>NOT(ISERROR(SEARCH("Tactical",F56)))</formula>
    </cfRule>
    <cfRule type="cellIs" dxfId="1123" priority="4442" operator="equal">
      <formula>"Strategic"</formula>
    </cfRule>
  </conditionalFormatting>
  <conditionalFormatting sqref="F138">
    <cfRule type="containsText" dxfId="1122" priority="4146" operator="containsText" text="Operational">
      <formula>NOT(ISERROR(SEARCH("Operational",F138)))</formula>
    </cfRule>
    <cfRule type="containsText" dxfId="1121" priority="4147" operator="containsText" text="Tactical">
      <formula>NOT(ISERROR(SEARCH("Tactical",F138)))</formula>
    </cfRule>
    <cfRule type="cellIs" dxfId="1120" priority="4148" operator="equal">
      <formula>"Strategic"</formula>
    </cfRule>
  </conditionalFormatting>
  <conditionalFormatting sqref="F127">
    <cfRule type="containsText" dxfId="1119" priority="4284" operator="containsText" text="Operational">
      <formula>NOT(ISERROR(SEARCH("Operational",F127)))</formula>
    </cfRule>
    <cfRule type="containsText" dxfId="1118" priority="4285" operator="containsText" text="Tactical">
      <formula>NOT(ISERROR(SEARCH("Tactical",F127)))</formula>
    </cfRule>
    <cfRule type="cellIs" dxfId="1117" priority="4286" operator="equal">
      <formula>"Strategic"</formula>
    </cfRule>
  </conditionalFormatting>
  <conditionalFormatting sqref="F136">
    <cfRule type="containsText" dxfId="1116" priority="4179" operator="containsText" text="Operational">
      <formula>NOT(ISERROR(SEARCH("Operational",F136)))</formula>
    </cfRule>
    <cfRule type="containsText" dxfId="1115" priority="4180" operator="containsText" text="Tactical">
      <formula>NOT(ISERROR(SEARCH("Tactical",F136)))</formula>
    </cfRule>
    <cfRule type="cellIs" dxfId="1114" priority="4181" operator="equal">
      <formula>"Strategic"</formula>
    </cfRule>
  </conditionalFormatting>
  <conditionalFormatting sqref="F122">
    <cfRule type="containsText" dxfId="1113" priority="4131" operator="containsText" text="Operational">
      <formula>NOT(ISERROR(SEARCH("Operational",F122)))</formula>
    </cfRule>
    <cfRule type="containsText" dxfId="1112" priority="4132" operator="containsText" text="Tactical">
      <formula>NOT(ISERROR(SEARCH("Tactical",F122)))</formula>
    </cfRule>
    <cfRule type="cellIs" dxfId="1111" priority="4133" operator="equal">
      <formula>"Strategic"</formula>
    </cfRule>
  </conditionalFormatting>
  <conditionalFormatting sqref="F119">
    <cfRule type="containsText" dxfId="1110" priority="4091" operator="containsText" text="Operational">
      <formula>NOT(ISERROR(SEARCH("Operational",F119)))</formula>
    </cfRule>
    <cfRule type="containsText" dxfId="1109" priority="4092" operator="containsText" text="Tactical">
      <formula>NOT(ISERROR(SEARCH("Tactical",F119)))</formula>
    </cfRule>
    <cfRule type="cellIs" dxfId="1108" priority="4093" operator="equal">
      <formula>"Strategic"</formula>
    </cfRule>
  </conditionalFormatting>
  <conditionalFormatting sqref="F117">
    <cfRule type="containsText" dxfId="1107" priority="4052" operator="containsText" text="Operational">
      <formula>NOT(ISERROR(SEARCH("Operational",F117)))</formula>
    </cfRule>
    <cfRule type="containsText" dxfId="1106" priority="4053" operator="containsText" text="Tactical">
      <formula>NOT(ISERROR(SEARCH("Tactical",F117)))</formula>
    </cfRule>
    <cfRule type="cellIs" dxfId="1105" priority="4054" operator="equal">
      <formula>"Strategic"</formula>
    </cfRule>
  </conditionalFormatting>
  <conditionalFormatting sqref="F136:F148">
    <cfRule type="containsText" dxfId="1104" priority="4016" operator="containsText" text="Operational">
      <formula>NOT(ISERROR(SEARCH("Operational",F136)))</formula>
    </cfRule>
    <cfRule type="containsText" dxfId="1103" priority="4017" operator="containsText" text="Tactical">
      <formula>NOT(ISERROR(SEARCH("Tactical",F136)))</formula>
    </cfRule>
    <cfRule type="cellIs" dxfId="1102" priority="4018" operator="equal">
      <formula>"Strategic"</formula>
    </cfRule>
  </conditionalFormatting>
  <conditionalFormatting sqref="F140">
    <cfRule type="containsText" dxfId="1101" priority="4007" operator="containsText" text="Operational">
      <formula>NOT(ISERROR(SEARCH("Operational",F140)))</formula>
    </cfRule>
    <cfRule type="containsText" dxfId="1100" priority="4008" operator="containsText" text="Tactical">
      <formula>NOT(ISERROR(SEARCH("Tactical",F140)))</formula>
    </cfRule>
    <cfRule type="cellIs" dxfId="1099" priority="4009" operator="equal">
      <formula>"Strategic"</formula>
    </cfRule>
  </conditionalFormatting>
  <conditionalFormatting sqref="F143">
    <cfRule type="containsText" dxfId="1098" priority="3953" operator="containsText" text="Operational">
      <formula>NOT(ISERROR(SEARCH("Operational",F143)))</formula>
    </cfRule>
    <cfRule type="containsText" dxfId="1097" priority="3954" operator="containsText" text="Tactical">
      <formula>NOT(ISERROR(SEARCH("Tactical",F143)))</formula>
    </cfRule>
    <cfRule type="cellIs" dxfId="1096" priority="3955" operator="equal">
      <formula>"Strategic"</formula>
    </cfRule>
  </conditionalFormatting>
  <conditionalFormatting sqref="F145">
    <cfRule type="containsText" dxfId="1095" priority="3923" operator="containsText" text="Operational">
      <formula>NOT(ISERROR(SEARCH("Operational",F145)))</formula>
    </cfRule>
    <cfRule type="containsText" dxfId="1094" priority="3924" operator="containsText" text="Tactical">
      <formula>NOT(ISERROR(SEARCH("Tactical",F145)))</formula>
    </cfRule>
    <cfRule type="cellIs" dxfId="1093" priority="3925" operator="equal">
      <formula>"Strategic"</formula>
    </cfRule>
  </conditionalFormatting>
  <conditionalFormatting sqref="F146">
    <cfRule type="containsText" dxfId="1092" priority="3899" operator="containsText" text="Operational">
      <formula>NOT(ISERROR(SEARCH("Operational",F146)))</formula>
    </cfRule>
    <cfRule type="containsText" dxfId="1091" priority="3900" operator="containsText" text="Tactical">
      <formula>NOT(ISERROR(SEARCH("Tactical",F146)))</formula>
    </cfRule>
    <cfRule type="cellIs" dxfId="1090" priority="3901" operator="equal">
      <formula>"Strategic"</formula>
    </cfRule>
  </conditionalFormatting>
  <conditionalFormatting sqref="F150">
    <cfRule type="containsText" dxfId="1089" priority="3812" operator="containsText" text="Operational">
      <formula>NOT(ISERROR(SEARCH("Operational",F150)))</formula>
    </cfRule>
    <cfRule type="containsText" dxfId="1088" priority="3813" operator="containsText" text="Tactical">
      <formula>NOT(ISERROR(SEARCH("Tactical",F150)))</formula>
    </cfRule>
    <cfRule type="cellIs" dxfId="1087" priority="3814" operator="equal">
      <formula>"Strategic"</formula>
    </cfRule>
  </conditionalFormatting>
  <conditionalFormatting sqref="F147">
    <cfRule type="containsText" dxfId="1086" priority="3881" operator="containsText" text="Operational">
      <formula>NOT(ISERROR(SEARCH("Operational",F147)))</formula>
    </cfRule>
    <cfRule type="containsText" dxfId="1085" priority="3882" operator="containsText" text="Tactical">
      <formula>NOT(ISERROR(SEARCH("Tactical",F147)))</formula>
    </cfRule>
    <cfRule type="cellIs" dxfId="1084" priority="3883" operator="equal">
      <formula>"Strategic"</formula>
    </cfRule>
  </conditionalFormatting>
  <conditionalFormatting sqref="F149:F150">
    <cfRule type="containsText" dxfId="1083" priority="3827" operator="containsText" text="Operational">
      <formula>NOT(ISERROR(SEARCH("Operational",F149)))</formula>
    </cfRule>
    <cfRule type="containsText" dxfId="1082" priority="3828" operator="containsText" text="Tactical">
      <formula>NOT(ISERROR(SEARCH("Tactical",F149)))</formula>
    </cfRule>
    <cfRule type="cellIs" dxfId="1081" priority="3829" operator="equal">
      <formula>"Strategic"</formula>
    </cfRule>
  </conditionalFormatting>
  <conditionalFormatting sqref="F129">
    <cfRule type="containsText" dxfId="1080" priority="3425" operator="containsText" text="Operational">
      <formula>NOT(ISERROR(SEARCH("Operational",F129)))</formula>
    </cfRule>
    <cfRule type="containsText" dxfId="1079" priority="3426" operator="containsText" text="Tactical">
      <formula>NOT(ISERROR(SEARCH("Tactical",F129)))</formula>
    </cfRule>
    <cfRule type="cellIs" dxfId="1078" priority="3427" operator="equal">
      <formula>"Strategic"</formula>
    </cfRule>
  </conditionalFormatting>
  <conditionalFormatting sqref="F131">
    <cfRule type="containsText" dxfId="1077" priority="3455" operator="containsText" text="Operational">
      <formula>NOT(ISERROR(SEARCH("Operational",F131)))</formula>
    </cfRule>
    <cfRule type="containsText" dxfId="1076" priority="3456" operator="containsText" text="Tactical">
      <formula>NOT(ISERROR(SEARCH("Tactical",F131)))</formula>
    </cfRule>
    <cfRule type="cellIs" dxfId="1075" priority="3457" operator="equal">
      <formula>"Strategic"</formula>
    </cfRule>
  </conditionalFormatting>
  <conditionalFormatting sqref="F128">
    <cfRule type="containsText" dxfId="1074" priority="3398" operator="containsText" text="Operational">
      <formula>NOT(ISERROR(SEARCH("Operational",F128)))</formula>
    </cfRule>
    <cfRule type="containsText" dxfId="1073" priority="3399" operator="containsText" text="Tactical">
      <formula>NOT(ISERROR(SEARCH("Tactical",F128)))</formula>
    </cfRule>
    <cfRule type="cellIs" dxfId="1072" priority="3400" operator="equal">
      <formula>"Strategic"</formula>
    </cfRule>
  </conditionalFormatting>
  <conditionalFormatting sqref="F126">
    <cfRule type="containsText" dxfId="1071" priority="3371" operator="containsText" text="Operational">
      <formula>NOT(ISERROR(SEARCH("Operational",F126)))</formula>
    </cfRule>
    <cfRule type="containsText" dxfId="1070" priority="3372" operator="containsText" text="Tactical">
      <formula>NOT(ISERROR(SEARCH("Tactical",F126)))</formula>
    </cfRule>
    <cfRule type="cellIs" dxfId="1069" priority="3373" operator="equal">
      <formula>"Strategic"</formula>
    </cfRule>
  </conditionalFormatting>
  <conditionalFormatting sqref="F125">
    <cfRule type="containsText" dxfId="1068" priority="3356" operator="containsText" text="Operational">
      <formula>NOT(ISERROR(SEARCH("Operational",F125)))</formula>
    </cfRule>
    <cfRule type="containsText" dxfId="1067" priority="3357" operator="containsText" text="Tactical">
      <formula>NOT(ISERROR(SEARCH("Tactical",F125)))</formula>
    </cfRule>
    <cfRule type="cellIs" dxfId="1066" priority="3358" operator="equal">
      <formula>"Strategic"</formula>
    </cfRule>
  </conditionalFormatting>
  <conditionalFormatting sqref="F124">
    <cfRule type="containsText" dxfId="1065" priority="3326" operator="containsText" text="Operational">
      <formula>NOT(ISERROR(SEARCH("Operational",F124)))</formula>
    </cfRule>
    <cfRule type="containsText" dxfId="1064" priority="3327" operator="containsText" text="Tactical">
      <formula>NOT(ISERROR(SEARCH("Tactical",F124)))</formula>
    </cfRule>
    <cfRule type="cellIs" dxfId="1063" priority="3328" operator="equal">
      <formula>"Strategic"</formula>
    </cfRule>
  </conditionalFormatting>
  <conditionalFormatting sqref="F113">
    <cfRule type="containsText" dxfId="1062" priority="3290" operator="containsText" text="Operational">
      <formula>NOT(ISERROR(SEARCH("Operational",F113)))</formula>
    </cfRule>
    <cfRule type="containsText" dxfId="1061" priority="3291" operator="containsText" text="Tactical">
      <formula>NOT(ISERROR(SEARCH("Tactical",F113)))</formula>
    </cfRule>
    <cfRule type="cellIs" dxfId="1060" priority="3292" operator="equal">
      <formula>"Strategic"</formula>
    </cfRule>
  </conditionalFormatting>
  <conditionalFormatting sqref="F112">
    <cfRule type="containsText" dxfId="1059" priority="3260" operator="containsText" text="Operational">
      <formula>NOT(ISERROR(SEARCH("Operational",F112)))</formula>
    </cfRule>
    <cfRule type="containsText" dxfId="1058" priority="3261" operator="containsText" text="Tactical">
      <formula>NOT(ISERROR(SEARCH("Tactical",F112)))</formula>
    </cfRule>
    <cfRule type="cellIs" dxfId="1057" priority="3262" operator="equal">
      <formula>"Strategic"</formula>
    </cfRule>
  </conditionalFormatting>
  <conditionalFormatting sqref="F111">
    <cfRule type="containsText" dxfId="1056" priority="3248" operator="containsText" text="Operational">
      <formula>NOT(ISERROR(SEARCH("Operational",F111)))</formula>
    </cfRule>
    <cfRule type="containsText" dxfId="1055" priority="3249" operator="containsText" text="Tactical">
      <formula>NOT(ISERROR(SEARCH("Tactical",F111)))</formula>
    </cfRule>
    <cfRule type="cellIs" dxfId="1054" priority="3250" operator="equal">
      <formula>"Strategic"</formula>
    </cfRule>
  </conditionalFormatting>
  <conditionalFormatting sqref="F54">
    <cfRule type="containsText" dxfId="1053" priority="2534" operator="containsText" text="Operational">
      <formula>NOT(ISERROR(SEARCH("Operational",F54)))</formula>
    </cfRule>
    <cfRule type="containsText" dxfId="1052" priority="2535" operator="containsText" text="Tactical">
      <formula>NOT(ISERROR(SEARCH("Tactical",F54)))</formula>
    </cfRule>
    <cfRule type="cellIs" dxfId="1051" priority="2536" operator="equal">
      <formula>"Strategic"</formula>
    </cfRule>
  </conditionalFormatting>
  <conditionalFormatting sqref="F55">
    <cfRule type="containsText" dxfId="1050" priority="2549" operator="containsText" text="Operational">
      <formula>NOT(ISERROR(SEARCH("Operational",F55)))</formula>
    </cfRule>
    <cfRule type="containsText" dxfId="1049" priority="2550" operator="containsText" text="Tactical">
      <formula>NOT(ISERROR(SEARCH("Tactical",F55)))</formula>
    </cfRule>
    <cfRule type="cellIs" dxfId="1048" priority="2551" operator="equal">
      <formula>"Strategic"</formula>
    </cfRule>
  </conditionalFormatting>
  <conditionalFormatting sqref="F53">
    <cfRule type="containsText" dxfId="1047" priority="2504" operator="containsText" text="Operational">
      <formula>NOT(ISERROR(SEARCH("Operational",F53)))</formula>
    </cfRule>
    <cfRule type="containsText" dxfId="1046" priority="2505" operator="containsText" text="Tactical">
      <formula>NOT(ISERROR(SEARCH("Tactical",F53)))</formula>
    </cfRule>
    <cfRule type="cellIs" dxfId="1045" priority="2506" operator="equal">
      <formula>"Strategic"</formula>
    </cfRule>
  </conditionalFormatting>
  <conditionalFormatting sqref="F49">
    <cfRule type="containsText" dxfId="1044" priority="2426" operator="containsText" text="Operational">
      <formula>NOT(ISERROR(SEARCH("Operational",F49)))</formula>
    </cfRule>
    <cfRule type="containsText" dxfId="1043" priority="2427" operator="containsText" text="Tactical">
      <formula>NOT(ISERROR(SEARCH("Tactical",F49)))</formula>
    </cfRule>
    <cfRule type="cellIs" dxfId="1042" priority="2428" operator="equal">
      <formula>"Strategic"</formula>
    </cfRule>
  </conditionalFormatting>
  <conditionalFormatting sqref="F52">
    <cfRule type="containsText" dxfId="1041" priority="2495" operator="containsText" text="Operational">
      <formula>NOT(ISERROR(SEARCH("Operational",F52)))</formula>
    </cfRule>
    <cfRule type="containsText" dxfId="1040" priority="2496" operator="containsText" text="Tactical">
      <formula>NOT(ISERROR(SEARCH("Tactical",F52)))</formula>
    </cfRule>
    <cfRule type="cellIs" dxfId="1039" priority="2497" operator="equal">
      <formula>"Strategic"</formula>
    </cfRule>
  </conditionalFormatting>
  <conditionalFormatting sqref="F50">
    <cfRule type="containsText" dxfId="1038" priority="2468" operator="containsText" text="Operational">
      <formula>NOT(ISERROR(SEARCH("Operational",F50)))</formula>
    </cfRule>
    <cfRule type="containsText" dxfId="1037" priority="2469" operator="containsText" text="Tactical">
      <formula>NOT(ISERROR(SEARCH("Tactical",F50)))</formula>
    </cfRule>
    <cfRule type="cellIs" dxfId="1036" priority="2470" operator="equal">
      <formula>"Strategic"</formula>
    </cfRule>
  </conditionalFormatting>
  <conditionalFormatting sqref="F47">
    <cfRule type="containsText" dxfId="1035" priority="2417" operator="containsText" text="Operational">
      <formula>NOT(ISERROR(SEARCH("Operational",F47)))</formula>
    </cfRule>
    <cfRule type="containsText" dxfId="1034" priority="2418" operator="containsText" text="Tactical">
      <formula>NOT(ISERROR(SEARCH("Tactical",F47)))</formula>
    </cfRule>
    <cfRule type="cellIs" dxfId="1033" priority="2419" operator="equal">
      <formula>"Strategic"</formula>
    </cfRule>
  </conditionalFormatting>
  <conditionalFormatting sqref="F45">
    <cfRule type="containsText" dxfId="1032" priority="2381" operator="containsText" text="Operational">
      <formula>NOT(ISERROR(SEARCH("Operational",F45)))</formula>
    </cfRule>
    <cfRule type="containsText" dxfId="1031" priority="2382" operator="containsText" text="Tactical">
      <formula>NOT(ISERROR(SEARCH("Tactical",F45)))</formula>
    </cfRule>
    <cfRule type="cellIs" dxfId="1030" priority="2383" operator="equal">
      <formula>"Strategic"</formula>
    </cfRule>
  </conditionalFormatting>
  <conditionalFormatting sqref="F44">
    <cfRule type="containsText" dxfId="1029" priority="2366" operator="containsText" text="Operational">
      <formula>NOT(ISERROR(SEARCH("Operational",F44)))</formula>
    </cfRule>
    <cfRule type="containsText" dxfId="1028" priority="2367" operator="containsText" text="Tactical">
      <formula>NOT(ISERROR(SEARCH("Tactical",F44)))</formula>
    </cfRule>
    <cfRule type="cellIs" dxfId="1027" priority="2368" operator="equal">
      <formula>"Strategic"</formula>
    </cfRule>
  </conditionalFormatting>
  <conditionalFormatting sqref="F43">
    <cfRule type="containsText" dxfId="1026" priority="2336" operator="containsText" text="Operational">
      <formula>NOT(ISERROR(SEARCH("Operational",F43)))</formula>
    </cfRule>
    <cfRule type="containsText" dxfId="1025" priority="2337" operator="containsText" text="Tactical">
      <formula>NOT(ISERROR(SEARCH("Tactical",F43)))</formula>
    </cfRule>
    <cfRule type="cellIs" dxfId="1024" priority="2338" operator="equal">
      <formula>"Strategic"</formula>
    </cfRule>
  </conditionalFormatting>
  <conditionalFormatting sqref="F19:F24">
    <cfRule type="containsText" dxfId="1023" priority="2235" operator="containsText" text="Operational">
      <formula>NOT(ISERROR(SEARCH("Operational",F19)))</formula>
    </cfRule>
    <cfRule type="containsText" dxfId="1022" priority="2236" operator="containsText" text="Tactical">
      <formula>NOT(ISERROR(SEARCH("Tactical",F19)))</formula>
    </cfRule>
    <cfRule type="cellIs" dxfId="1021" priority="2237" operator="equal">
      <formula>"Strategic"</formula>
    </cfRule>
  </conditionalFormatting>
  <conditionalFormatting sqref="F133">
    <cfRule type="containsText" dxfId="1020" priority="2226" operator="containsText" text="Operational">
      <formula>NOT(ISERROR(SEARCH("Operational",F133)))</formula>
    </cfRule>
    <cfRule type="containsText" dxfId="1019" priority="2227" operator="containsText" text="Tactical">
      <formula>NOT(ISERROR(SEARCH("Tactical",F133)))</formula>
    </cfRule>
    <cfRule type="cellIs" dxfId="1018" priority="2228" operator="equal">
      <formula>"Strategic"</formula>
    </cfRule>
  </conditionalFormatting>
  <conditionalFormatting sqref="F132">
    <cfRule type="containsText" dxfId="1017" priority="2229" operator="containsText" text="Operational">
      <formula>NOT(ISERROR(SEARCH("Operational",F132)))</formula>
    </cfRule>
    <cfRule type="containsText" dxfId="1016" priority="2230" operator="containsText" text="Tactical">
      <formula>NOT(ISERROR(SEARCH("Tactical",F132)))</formula>
    </cfRule>
    <cfRule type="cellIs" dxfId="1015" priority="2231" operator="equal">
      <formula>"Strategic"</formula>
    </cfRule>
  </conditionalFormatting>
  <conditionalFormatting sqref="F57 F59 F63 F71:F73 F75:F80">
    <cfRule type="containsText" dxfId="1014" priority="2154" operator="containsText" text="Operational">
      <formula>NOT(ISERROR(SEARCH("Operational",F57)))</formula>
    </cfRule>
    <cfRule type="containsText" dxfId="1013" priority="2155" operator="containsText" text="Tactical">
      <formula>NOT(ISERROR(SEARCH("Tactical",F57)))</formula>
    </cfRule>
    <cfRule type="cellIs" dxfId="1012" priority="2156" operator="equal">
      <formula>"Strategic"</formula>
    </cfRule>
  </conditionalFormatting>
  <conditionalFormatting sqref="F51">
    <cfRule type="containsText" dxfId="1011" priority="2109" operator="containsText" text="Operational">
      <formula>NOT(ISERROR(SEARCH("Operational",F51)))</formula>
    </cfRule>
    <cfRule type="containsText" dxfId="1010" priority="2110" operator="containsText" text="Tactical">
      <formula>NOT(ISERROR(SEARCH("Tactical",F51)))</formula>
    </cfRule>
    <cfRule type="cellIs" dxfId="1009" priority="2111" operator="equal">
      <formula>"Strategic"</formula>
    </cfRule>
  </conditionalFormatting>
  <conditionalFormatting sqref="F62">
    <cfRule type="containsText" dxfId="1008" priority="2094" operator="containsText" text="Operational">
      <formula>NOT(ISERROR(SEARCH("Operational",F62)))</formula>
    </cfRule>
    <cfRule type="containsText" dxfId="1007" priority="2095" operator="containsText" text="Tactical">
      <formula>NOT(ISERROR(SEARCH("Tactical",F62)))</formula>
    </cfRule>
    <cfRule type="cellIs" dxfId="1006" priority="2096" operator="equal">
      <formula>"Strategic"</formula>
    </cfRule>
  </conditionalFormatting>
  <conditionalFormatting sqref="F58">
    <cfRule type="containsText" dxfId="1005" priority="2091" operator="containsText" text="Operational">
      <formula>NOT(ISERROR(SEARCH("Operational",F58)))</formula>
    </cfRule>
    <cfRule type="containsText" dxfId="1004" priority="2092" operator="containsText" text="Tactical">
      <formula>NOT(ISERROR(SEARCH("Tactical",F58)))</formula>
    </cfRule>
    <cfRule type="cellIs" dxfId="1003" priority="2093" operator="equal">
      <formula>"Strategic"</formula>
    </cfRule>
  </conditionalFormatting>
  <conditionalFormatting sqref="F61">
    <cfRule type="containsText" dxfId="1002" priority="2088" operator="containsText" text="Operational">
      <formula>NOT(ISERROR(SEARCH("Operational",F61)))</formula>
    </cfRule>
    <cfRule type="containsText" dxfId="1001" priority="2089" operator="containsText" text="Tactical">
      <formula>NOT(ISERROR(SEARCH("Tactical",F61)))</formula>
    </cfRule>
    <cfRule type="cellIs" dxfId="1000" priority="2090" operator="equal">
      <formula>"Strategic"</formula>
    </cfRule>
  </conditionalFormatting>
  <conditionalFormatting sqref="F60">
    <cfRule type="containsText" dxfId="999" priority="2085" operator="containsText" text="Operational">
      <formula>NOT(ISERROR(SEARCH("Operational",F60)))</formula>
    </cfRule>
    <cfRule type="containsText" dxfId="998" priority="2086" operator="containsText" text="Tactical">
      <formula>NOT(ISERROR(SEARCH("Tactical",F60)))</formula>
    </cfRule>
    <cfRule type="cellIs" dxfId="997" priority="2087" operator="equal">
      <formula>"Strategic"</formula>
    </cfRule>
  </conditionalFormatting>
  <conditionalFormatting sqref="F68">
    <cfRule type="containsText" dxfId="996" priority="2067" operator="containsText" text="Operational">
      <formula>NOT(ISERROR(SEARCH("Operational",F68)))</formula>
    </cfRule>
    <cfRule type="containsText" dxfId="995" priority="2068" operator="containsText" text="Tactical">
      <formula>NOT(ISERROR(SEARCH("Tactical",F68)))</formula>
    </cfRule>
    <cfRule type="cellIs" dxfId="994" priority="2069" operator="equal">
      <formula>"Strategic"</formula>
    </cfRule>
  </conditionalFormatting>
  <conditionalFormatting sqref="F69">
    <cfRule type="containsText" dxfId="993" priority="2064" operator="containsText" text="Operational">
      <formula>NOT(ISERROR(SEARCH("Operational",F69)))</formula>
    </cfRule>
    <cfRule type="containsText" dxfId="992" priority="2065" operator="containsText" text="Tactical">
      <formula>NOT(ISERROR(SEARCH("Tactical",F69)))</formula>
    </cfRule>
    <cfRule type="cellIs" dxfId="991" priority="2066" operator="equal">
      <formula>"Strategic"</formula>
    </cfRule>
  </conditionalFormatting>
  <conditionalFormatting sqref="F81">
    <cfRule type="containsText" dxfId="990" priority="2046" operator="containsText" text="Operational">
      <formula>NOT(ISERROR(SEARCH("Operational",F81)))</formula>
    </cfRule>
    <cfRule type="containsText" dxfId="989" priority="2047" operator="containsText" text="Tactical">
      <formula>NOT(ISERROR(SEARCH("Tactical",F81)))</formula>
    </cfRule>
    <cfRule type="cellIs" dxfId="988" priority="2048" operator="equal">
      <formula>"Strategic"</formula>
    </cfRule>
  </conditionalFormatting>
  <conditionalFormatting sqref="F87">
    <cfRule type="containsText" dxfId="987" priority="2040" operator="containsText" text="Operational">
      <formula>NOT(ISERROR(SEARCH("Operational",F87)))</formula>
    </cfRule>
    <cfRule type="containsText" dxfId="986" priority="2041" operator="containsText" text="Tactical">
      <formula>NOT(ISERROR(SEARCH("Tactical",F87)))</formula>
    </cfRule>
    <cfRule type="cellIs" dxfId="985" priority="2042" operator="equal">
      <formula>"Strategic"</formula>
    </cfRule>
  </conditionalFormatting>
  <conditionalFormatting sqref="F118">
    <cfRule type="containsText" dxfId="984" priority="1965" operator="containsText" text="Operational">
      <formula>NOT(ISERROR(SEARCH("Operational",F118)))</formula>
    </cfRule>
    <cfRule type="containsText" dxfId="983" priority="1966" operator="containsText" text="Tactical">
      <formula>NOT(ISERROR(SEARCH("Tactical",F118)))</formula>
    </cfRule>
    <cfRule type="cellIs" dxfId="982" priority="1967" operator="equal">
      <formula>"Strategic"</formula>
    </cfRule>
  </conditionalFormatting>
  <conditionalFormatting sqref="F48">
    <cfRule type="containsText" dxfId="981" priority="1956" operator="containsText" text="Operational">
      <formula>NOT(ISERROR(SEARCH("Operational",F48)))</formula>
    </cfRule>
    <cfRule type="containsText" dxfId="980" priority="1957" operator="containsText" text="Tactical">
      <formula>NOT(ISERROR(SEARCH("Tactical",F48)))</formula>
    </cfRule>
    <cfRule type="cellIs" dxfId="979" priority="1958" operator="equal">
      <formula>"Strategic"</formula>
    </cfRule>
  </conditionalFormatting>
  <conditionalFormatting sqref="F134">
    <cfRule type="containsText" dxfId="978" priority="1937" operator="containsText" text="Operational">
      <formula>NOT(ISERROR(SEARCH("Operational",F134)))</formula>
    </cfRule>
    <cfRule type="containsText" dxfId="977" priority="1938" operator="containsText" text="Tactical">
      <formula>NOT(ISERROR(SEARCH("Tactical",F134)))</formula>
    </cfRule>
    <cfRule type="cellIs" dxfId="976" priority="1939" operator="equal">
      <formula>"Strategic"</formula>
    </cfRule>
  </conditionalFormatting>
  <conditionalFormatting sqref="F134">
    <cfRule type="containsText" dxfId="975" priority="1934" operator="containsText" text="Operational">
      <formula>NOT(ISERROR(SEARCH("Operational",F134)))</formula>
    </cfRule>
    <cfRule type="containsText" dxfId="974" priority="1935" operator="containsText" text="Tactical">
      <formula>NOT(ISERROR(SEARCH("Tactical",F134)))</formula>
    </cfRule>
    <cfRule type="cellIs" dxfId="973" priority="1936" operator="equal">
      <formula>"Strategic"</formula>
    </cfRule>
  </conditionalFormatting>
  <conditionalFormatting sqref="F121">
    <cfRule type="containsText" dxfId="972" priority="1521" operator="containsText" text="Operational">
      <formula>NOT(ISERROR(SEARCH("Operational",F121)))</formula>
    </cfRule>
    <cfRule type="containsText" dxfId="971" priority="1522" operator="containsText" text="Tactical">
      <formula>NOT(ISERROR(SEARCH("Tactical",F121)))</formula>
    </cfRule>
    <cfRule type="cellIs" dxfId="970" priority="1523" operator="equal">
      <formula>"Strategic"</formula>
    </cfRule>
  </conditionalFormatting>
  <conditionalFormatting sqref="D84">
    <cfRule type="containsText" dxfId="969" priority="1690" operator="containsText" text="Operational">
      <formula>NOT(ISERROR(SEARCH("Operational",D84)))</formula>
    </cfRule>
    <cfRule type="containsText" dxfId="968" priority="1691" operator="containsText" text="Tactical">
      <formula>NOT(ISERROR(SEARCH("Tactical",D84)))</formula>
    </cfRule>
    <cfRule type="cellIs" dxfId="967" priority="1692" operator="equal">
      <formula>"Strategic"</formula>
    </cfRule>
  </conditionalFormatting>
  <conditionalFormatting sqref="F84">
    <cfRule type="containsText" dxfId="966" priority="1669" operator="containsText" text="Operational">
      <formula>NOT(ISERROR(SEARCH("Operational",F84)))</formula>
    </cfRule>
    <cfRule type="containsText" dxfId="965" priority="1670" operator="containsText" text="Tactical">
      <formula>NOT(ISERROR(SEARCH("Tactical",F84)))</formula>
    </cfRule>
    <cfRule type="cellIs" dxfId="964" priority="1671" operator="equal">
      <formula>"Strategic"</formula>
    </cfRule>
  </conditionalFormatting>
  <conditionalFormatting sqref="D104">
    <cfRule type="containsText" dxfId="963" priority="1661" operator="containsText" text="Operational">
      <formula>NOT(ISERROR(SEARCH("Operational",D104)))</formula>
    </cfRule>
    <cfRule type="containsText" dxfId="962" priority="1662" operator="containsText" text="Tactical">
      <formula>NOT(ISERROR(SEARCH("Tactical",D104)))</formula>
    </cfRule>
    <cfRule type="cellIs" dxfId="961" priority="1663" operator="equal">
      <formula>"Strategic"</formula>
    </cfRule>
  </conditionalFormatting>
  <conditionalFormatting sqref="F104">
    <cfRule type="containsText" dxfId="960" priority="1640" operator="containsText" text="Operational">
      <formula>NOT(ISERROR(SEARCH("Operational",F104)))</formula>
    </cfRule>
    <cfRule type="containsText" dxfId="959" priority="1641" operator="containsText" text="Tactical">
      <formula>NOT(ISERROR(SEARCH("Tactical",F104)))</formula>
    </cfRule>
    <cfRule type="cellIs" dxfId="958" priority="1642" operator="equal">
      <formula>"Strategic"</formula>
    </cfRule>
  </conditionalFormatting>
  <conditionalFormatting sqref="D74">
    <cfRule type="containsText" dxfId="957" priority="1632" operator="containsText" text="Operational">
      <formula>NOT(ISERROR(SEARCH("Operational",D74)))</formula>
    </cfRule>
    <cfRule type="containsText" dxfId="956" priority="1633" operator="containsText" text="Tactical">
      <formula>NOT(ISERROR(SEARCH("Tactical",D74)))</formula>
    </cfRule>
    <cfRule type="cellIs" dxfId="955" priority="1634" operator="equal">
      <formula>"Strategic"</formula>
    </cfRule>
  </conditionalFormatting>
  <conditionalFormatting sqref="F74">
    <cfRule type="containsText" dxfId="954" priority="1611" operator="containsText" text="Operational">
      <formula>NOT(ISERROR(SEARCH("Operational",F74)))</formula>
    </cfRule>
    <cfRule type="containsText" dxfId="953" priority="1612" operator="containsText" text="Tactical">
      <formula>NOT(ISERROR(SEARCH("Tactical",F74)))</formula>
    </cfRule>
    <cfRule type="cellIs" dxfId="952" priority="1613" operator="equal">
      <formula>"Strategic"</formula>
    </cfRule>
  </conditionalFormatting>
  <conditionalFormatting sqref="D115">
    <cfRule type="containsText" dxfId="951" priority="1603" operator="containsText" text="Operational">
      <formula>NOT(ISERROR(SEARCH("Operational",D115)))</formula>
    </cfRule>
    <cfRule type="containsText" dxfId="950" priority="1604" operator="containsText" text="Tactical">
      <formula>NOT(ISERROR(SEARCH("Tactical",D115)))</formula>
    </cfRule>
    <cfRule type="cellIs" dxfId="949" priority="1605" operator="equal">
      <formula>"Strategic"</formula>
    </cfRule>
  </conditionalFormatting>
  <conditionalFormatting sqref="F115">
    <cfRule type="containsText" dxfId="948" priority="1582" operator="containsText" text="Operational">
      <formula>NOT(ISERROR(SEARCH("Operational",F115)))</formula>
    </cfRule>
    <cfRule type="containsText" dxfId="947" priority="1583" operator="containsText" text="Tactical">
      <formula>NOT(ISERROR(SEARCH("Tactical",F115)))</formula>
    </cfRule>
    <cfRule type="cellIs" dxfId="946" priority="1584" operator="equal">
      <formula>"Strategic"</formula>
    </cfRule>
  </conditionalFormatting>
  <conditionalFormatting sqref="D67">
    <cfRule type="containsText" dxfId="945" priority="1574" operator="containsText" text="Operational">
      <formula>NOT(ISERROR(SEARCH("Operational",D67)))</formula>
    </cfRule>
    <cfRule type="containsText" dxfId="944" priority="1575" operator="containsText" text="Tactical">
      <formula>NOT(ISERROR(SEARCH("Tactical",D67)))</formula>
    </cfRule>
    <cfRule type="cellIs" dxfId="943" priority="1576" operator="equal">
      <formula>"Strategic"</formula>
    </cfRule>
  </conditionalFormatting>
  <conditionalFormatting sqref="F67">
    <cfRule type="containsText" dxfId="942" priority="1562" operator="containsText" text="Operational">
      <formula>NOT(ISERROR(SEARCH("Operational",F67)))</formula>
    </cfRule>
    <cfRule type="containsText" dxfId="941" priority="1563" operator="containsText" text="Tactical">
      <formula>NOT(ISERROR(SEARCH("Tactical",F67)))</formula>
    </cfRule>
    <cfRule type="cellIs" dxfId="940" priority="1564" operator="equal">
      <formula>"Strategic"</formula>
    </cfRule>
  </conditionalFormatting>
  <conditionalFormatting sqref="D121">
    <cfRule type="containsText" dxfId="939" priority="1542" operator="containsText" text="Operational">
      <formula>NOT(ISERROR(SEARCH("Operational",D121)))</formula>
    </cfRule>
    <cfRule type="containsText" dxfId="938" priority="1543" operator="containsText" text="Tactical">
      <formula>NOT(ISERROR(SEARCH("Tactical",D121)))</formula>
    </cfRule>
    <cfRule type="cellIs" dxfId="937" priority="1544" operator="equal">
      <formula>"Strategic"</formula>
    </cfRule>
  </conditionalFormatting>
  <conditionalFormatting sqref="D70">
    <cfRule type="containsText" dxfId="936" priority="1513" operator="containsText" text="Operational">
      <formula>NOT(ISERROR(SEARCH("Operational",D70)))</formula>
    </cfRule>
    <cfRule type="containsText" dxfId="935" priority="1514" operator="containsText" text="Tactical">
      <formula>NOT(ISERROR(SEARCH("Tactical",D70)))</formula>
    </cfRule>
    <cfRule type="cellIs" dxfId="934" priority="1515" operator="equal">
      <formula>"Strategic"</formula>
    </cfRule>
  </conditionalFormatting>
  <conditionalFormatting sqref="F70">
    <cfRule type="containsText" dxfId="933" priority="1501" operator="containsText" text="Operational">
      <formula>NOT(ISERROR(SEARCH("Operational",F70)))</formula>
    </cfRule>
    <cfRule type="containsText" dxfId="932" priority="1502" operator="containsText" text="Tactical">
      <formula>NOT(ISERROR(SEARCH("Tactical",F70)))</formula>
    </cfRule>
    <cfRule type="cellIs" dxfId="931" priority="1503" operator="equal">
      <formula>"Strategic"</formula>
    </cfRule>
  </conditionalFormatting>
  <conditionalFormatting sqref="D26">
    <cfRule type="containsText" dxfId="930" priority="1481" operator="containsText" text="Operational">
      <formula>NOT(ISERROR(SEARCH("Operational",D26)))</formula>
    </cfRule>
    <cfRule type="containsText" dxfId="929" priority="1482" operator="containsText" text="Tactical">
      <formula>NOT(ISERROR(SEARCH("Tactical",D26)))</formula>
    </cfRule>
    <cfRule type="cellIs" dxfId="928" priority="1483" operator="equal">
      <formula>"Strategic"</formula>
    </cfRule>
  </conditionalFormatting>
  <conditionalFormatting sqref="F26">
    <cfRule type="containsText" dxfId="927" priority="1463" operator="containsText" text="Operational">
      <formula>NOT(ISERROR(SEARCH("Operational",F26)))</formula>
    </cfRule>
    <cfRule type="containsText" dxfId="926" priority="1464" operator="containsText" text="Tactical">
      <formula>NOT(ISERROR(SEARCH("Tactical",F26)))</formula>
    </cfRule>
    <cfRule type="cellIs" dxfId="925" priority="1465" operator="equal">
      <formula>"Strategic"</formula>
    </cfRule>
  </conditionalFormatting>
  <conditionalFormatting sqref="F26">
    <cfRule type="containsText" dxfId="924" priority="1460" operator="containsText" text="Operational">
      <formula>NOT(ISERROR(SEARCH("Operational",F26)))</formula>
    </cfRule>
    <cfRule type="containsText" dxfId="923" priority="1461" operator="containsText" text="Tactical">
      <formula>NOT(ISERROR(SEARCH("Tactical",F26)))</formula>
    </cfRule>
    <cfRule type="cellIs" dxfId="922" priority="1462" operator="equal">
      <formula>"Strategic"</formula>
    </cfRule>
  </conditionalFormatting>
  <conditionalFormatting sqref="F135">
    <cfRule type="containsText" dxfId="921" priority="1440" operator="containsText" text="Operational">
      <formula>NOT(ISERROR(SEARCH("Operational",F135)))</formula>
    </cfRule>
    <cfRule type="containsText" dxfId="920" priority="1441" operator="containsText" text="Tactical">
      <formula>NOT(ISERROR(SEARCH("Tactical",F135)))</formula>
    </cfRule>
    <cfRule type="cellIs" dxfId="919" priority="1442" operator="equal">
      <formula>"Strategic"</formula>
    </cfRule>
  </conditionalFormatting>
  <conditionalFormatting sqref="D42">
    <cfRule type="containsText" dxfId="918" priority="1403" operator="containsText" text="Operational">
      <formula>NOT(ISERROR(SEARCH("Operational",D42)))</formula>
    </cfRule>
    <cfRule type="containsText" dxfId="917" priority="1404" operator="containsText" text="Tactical">
      <formula>NOT(ISERROR(SEARCH("Tactical",D42)))</formula>
    </cfRule>
    <cfRule type="cellIs" dxfId="916" priority="1405" operator="equal">
      <formula>"Strategic"</formula>
    </cfRule>
  </conditionalFormatting>
  <conditionalFormatting sqref="F42">
    <cfRule type="containsText" dxfId="915" priority="1391" operator="containsText" text="Operational">
      <formula>NOT(ISERROR(SEARCH("Operational",F42)))</formula>
    </cfRule>
    <cfRule type="containsText" dxfId="914" priority="1392" operator="containsText" text="Tactical">
      <formula>NOT(ISERROR(SEARCH("Tactical",F42)))</formula>
    </cfRule>
    <cfRule type="cellIs" dxfId="913" priority="1393" operator="equal">
      <formula>"Strategic"</formula>
    </cfRule>
  </conditionalFormatting>
  <conditionalFormatting sqref="E105">
    <cfRule type="containsText" dxfId="912" priority="1313" operator="containsText" text="Operational">
      <formula>NOT(ISERROR(SEARCH("Operational",E105)))</formula>
    </cfRule>
    <cfRule type="containsText" dxfId="911" priority="1314" operator="containsText" text="Tactical">
      <formula>NOT(ISERROR(SEARCH("Tactical",E105)))</formula>
    </cfRule>
    <cfRule type="cellIs" dxfId="910" priority="1315" operator="equal">
      <formula>"Strategic"</formula>
    </cfRule>
  </conditionalFormatting>
  <conditionalFormatting sqref="E120">
    <cfRule type="containsText" dxfId="909" priority="1370" operator="containsText" text="Operational">
      <formula>NOT(ISERROR(SEARCH("Operational",E120)))</formula>
    </cfRule>
    <cfRule type="containsText" dxfId="908" priority="1371" operator="containsText" text="Tactical">
      <formula>NOT(ISERROR(SEARCH("Tactical",E120)))</formula>
    </cfRule>
    <cfRule type="cellIs" dxfId="907" priority="1372" operator="equal">
      <formula>"Strategic"</formula>
    </cfRule>
  </conditionalFormatting>
  <conditionalFormatting sqref="E120">
    <cfRule type="containsText" dxfId="906" priority="1367" operator="containsText" text="Operational">
      <formula>NOT(ISERROR(SEARCH("Operational",E120)))</formula>
    </cfRule>
    <cfRule type="containsText" dxfId="905" priority="1368" operator="containsText" text="Tactical">
      <formula>NOT(ISERROR(SEARCH("Tactical",E120)))</formula>
    </cfRule>
    <cfRule type="cellIs" dxfId="904" priority="1369" operator="equal">
      <formula>"Strategic"</formula>
    </cfRule>
  </conditionalFormatting>
  <conditionalFormatting sqref="E121">
    <cfRule type="containsText" dxfId="903" priority="1364" operator="containsText" text="Operational">
      <formula>NOT(ISERROR(SEARCH("Operational",E121)))</formula>
    </cfRule>
    <cfRule type="containsText" dxfId="902" priority="1365" operator="containsText" text="Tactical">
      <formula>NOT(ISERROR(SEARCH("Tactical",E121)))</formula>
    </cfRule>
    <cfRule type="cellIs" dxfId="901" priority="1366" operator="equal">
      <formula>"Strategic"</formula>
    </cfRule>
  </conditionalFormatting>
  <conditionalFormatting sqref="E121">
    <cfRule type="containsText" dxfId="900" priority="1361" operator="containsText" text="Operational">
      <formula>NOT(ISERROR(SEARCH("Operational",E121)))</formula>
    </cfRule>
    <cfRule type="containsText" dxfId="899" priority="1362" operator="containsText" text="Tactical">
      <formula>NOT(ISERROR(SEARCH("Tactical",E121)))</formula>
    </cfRule>
    <cfRule type="cellIs" dxfId="898" priority="1363" operator="equal">
      <formula>"Strategic"</formula>
    </cfRule>
  </conditionalFormatting>
  <conditionalFormatting sqref="E102">
    <cfRule type="containsText" dxfId="897" priority="1358" operator="containsText" text="Operational">
      <formula>NOT(ISERROR(SEARCH("Operational",E102)))</formula>
    </cfRule>
    <cfRule type="containsText" dxfId="896" priority="1359" operator="containsText" text="Tactical">
      <formula>NOT(ISERROR(SEARCH("Tactical",E102)))</formula>
    </cfRule>
    <cfRule type="cellIs" dxfId="895" priority="1360" operator="equal">
      <formula>"Strategic"</formula>
    </cfRule>
  </conditionalFormatting>
  <conditionalFormatting sqref="E102">
    <cfRule type="containsText" dxfId="894" priority="1355" operator="containsText" text="Operational">
      <formula>NOT(ISERROR(SEARCH("Operational",E102)))</formula>
    </cfRule>
    <cfRule type="containsText" dxfId="893" priority="1356" operator="containsText" text="Tactical">
      <formula>NOT(ISERROR(SEARCH("Tactical",E102)))</formula>
    </cfRule>
    <cfRule type="cellIs" dxfId="892" priority="1357" operator="equal">
      <formula>"Strategic"</formula>
    </cfRule>
  </conditionalFormatting>
  <conditionalFormatting sqref="E94">
    <cfRule type="containsText" dxfId="891" priority="1346" operator="containsText" text="Operational">
      <formula>NOT(ISERROR(SEARCH("Operational",E94)))</formula>
    </cfRule>
    <cfRule type="containsText" dxfId="890" priority="1347" operator="containsText" text="Tactical">
      <formula>NOT(ISERROR(SEARCH("Tactical",E94)))</formula>
    </cfRule>
    <cfRule type="cellIs" dxfId="889" priority="1348" operator="equal">
      <formula>"Strategic"</formula>
    </cfRule>
  </conditionalFormatting>
  <conditionalFormatting sqref="E94">
    <cfRule type="containsText" dxfId="888" priority="1343" operator="containsText" text="Operational">
      <formula>NOT(ISERROR(SEARCH("Operational",E94)))</formula>
    </cfRule>
    <cfRule type="containsText" dxfId="887" priority="1344" operator="containsText" text="Tactical">
      <formula>NOT(ISERROR(SEARCH("Tactical",E94)))</formula>
    </cfRule>
    <cfRule type="cellIs" dxfId="886" priority="1345" operator="equal">
      <formula>"Strategic"</formula>
    </cfRule>
  </conditionalFormatting>
  <conditionalFormatting sqref="E93">
    <cfRule type="containsText" dxfId="885" priority="1334" operator="containsText" text="Operational">
      <formula>NOT(ISERROR(SEARCH("Operational",E93)))</formula>
    </cfRule>
    <cfRule type="containsText" dxfId="884" priority="1335" operator="containsText" text="Tactical">
      <formula>NOT(ISERROR(SEARCH("Tactical",E93)))</formula>
    </cfRule>
    <cfRule type="cellIs" dxfId="883" priority="1336" operator="equal">
      <formula>"Strategic"</formula>
    </cfRule>
  </conditionalFormatting>
  <conditionalFormatting sqref="E93">
    <cfRule type="containsText" dxfId="882" priority="1331" operator="containsText" text="Operational">
      <formula>NOT(ISERROR(SEARCH("Operational",E93)))</formula>
    </cfRule>
    <cfRule type="containsText" dxfId="881" priority="1332" operator="containsText" text="Tactical">
      <formula>NOT(ISERROR(SEARCH("Tactical",E93)))</formula>
    </cfRule>
    <cfRule type="cellIs" dxfId="880" priority="1333" operator="equal">
      <formula>"Strategic"</formula>
    </cfRule>
  </conditionalFormatting>
  <conditionalFormatting sqref="E109:E117">
    <cfRule type="containsText" dxfId="879" priority="1322" operator="containsText" text="Operational">
      <formula>NOT(ISERROR(SEARCH("Operational",E109)))</formula>
    </cfRule>
    <cfRule type="containsText" dxfId="878" priority="1323" operator="containsText" text="Tactical">
      <formula>NOT(ISERROR(SEARCH("Tactical",E109)))</formula>
    </cfRule>
    <cfRule type="cellIs" dxfId="877" priority="1324" operator="equal">
      <formula>"Strategic"</formula>
    </cfRule>
  </conditionalFormatting>
  <conditionalFormatting sqref="E109:E117">
    <cfRule type="containsText" dxfId="876" priority="1319" operator="containsText" text="Operational">
      <formula>NOT(ISERROR(SEARCH("Operational",E109)))</formula>
    </cfRule>
    <cfRule type="containsText" dxfId="875" priority="1320" operator="containsText" text="Tactical">
      <formula>NOT(ISERROR(SEARCH("Tactical",E109)))</formula>
    </cfRule>
    <cfRule type="cellIs" dxfId="874" priority="1321" operator="equal">
      <formula>"Strategic"</formula>
    </cfRule>
  </conditionalFormatting>
  <conditionalFormatting sqref="E105">
    <cfRule type="containsText" dxfId="873" priority="1316" operator="containsText" text="Operational">
      <formula>NOT(ISERROR(SEARCH("Operational",E105)))</formula>
    </cfRule>
    <cfRule type="containsText" dxfId="872" priority="1317" operator="containsText" text="Tactical">
      <formula>NOT(ISERROR(SEARCH("Tactical",E105)))</formula>
    </cfRule>
    <cfRule type="cellIs" dxfId="871" priority="1318" operator="equal">
      <formula>"Strategic"</formula>
    </cfRule>
  </conditionalFormatting>
  <conditionalFormatting sqref="D39">
    <cfRule type="containsText" dxfId="870" priority="1307" operator="containsText" text="Operational">
      <formula>NOT(ISERROR(SEARCH("Operational",D39)))</formula>
    </cfRule>
    <cfRule type="containsText" dxfId="869" priority="1308" operator="containsText" text="Tactical">
      <formula>NOT(ISERROR(SEARCH("Tactical",D39)))</formula>
    </cfRule>
    <cfRule type="cellIs" dxfId="868" priority="1309" operator="equal">
      <formula>"Strategic"</formula>
    </cfRule>
  </conditionalFormatting>
  <conditionalFormatting sqref="D134">
    <cfRule type="containsText" dxfId="867" priority="1304" operator="containsText" text="Operational">
      <formula>NOT(ISERROR(SEARCH("Operational",D134)))</formula>
    </cfRule>
    <cfRule type="containsText" dxfId="866" priority="1305" operator="containsText" text="Tactical">
      <formula>NOT(ISERROR(SEARCH("Tactical",D134)))</formula>
    </cfRule>
    <cfRule type="cellIs" dxfId="865" priority="1306" operator="equal">
      <formula>"Strategic"</formula>
    </cfRule>
  </conditionalFormatting>
  <conditionalFormatting sqref="D135">
    <cfRule type="containsText" dxfId="864" priority="1301" operator="containsText" text="Operational">
      <formula>NOT(ISERROR(SEARCH("Operational",D135)))</formula>
    </cfRule>
    <cfRule type="containsText" dxfId="863" priority="1302" operator="containsText" text="Tactical">
      <formula>NOT(ISERROR(SEARCH("Tactical",D135)))</formula>
    </cfRule>
    <cfRule type="cellIs" dxfId="862" priority="1303" operator="equal">
      <formula>"Strategic"</formula>
    </cfRule>
  </conditionalFormatting>
  <conditionalFormatting sqref="D136">
    <cfRule type="containsText" dxfId="861" priority="1298" operator="containsText" text="Operational">
      <formula>NOT(ISERROR(SEARCH("Operational",D136)))</formula>
    </cfRule>
    <cfRule type="containsText" dxfId="860" priority="1299" operator="containsText" text="Tactical">
      <formula>NOT(ISERROR(SEARCH("Tactical",D136)))</formula>
    </cfRule>
    <cfRule type="cellIs" dxfId="859" priority="1300" operator="equal">
      <formula>"Strategic"</formula>
    </cfRule>
  </conditionalFormatting>
  <conditionalFormatting sqref="E128">
    <cfRule type="containsText" dxfId="858" priority="1295" operator="containsText" text="Operational">
      <formula>NOT(ISERROR(SEARCH("Operational",E128)))</formula>
    </cfRule>
    <cfRule type="containsText" dxfId="857" priority="1296" operator="containsText" text="Tactical">
      <formula>NOT(ISERROR(SEARCH("Tactical",E128)))</formula>
    </cfRule>
    <cfRule type="cellIs" dxfId="856" priority="1297" operator="equal">
      <formula>"Strategic"</formula>
    </cfRule>
  </conditionalFormatting>
  <conditionalFormatting sqref="H5">
    <cfRule type="containsText" dxfId="855" priority="1203" operator="containsText" text="Operational">
      <formula>NOT(ISERROR(SEARCH("Operational",H5)))</formula>
    </cfRule>
    <cfRule type="containsText" dxfId="854" priority="1204" operator="containsText" text="Tactical">
      <formula>NOT(ISERROR(SEARCH("Tactical",H5)))</formula>
    </cfRule>
    <cfRule type="cellIs" dxfId="853" priority="1205" operator="equal">
      <formula>"Strategic"</formula>
    </cfRule>
  </conditionalFormatting>
  <conditionalFormatting sqref="H5">
    <cfRule type="containsText" dxfId="852" priority="1200" operator="containsText" text="Operational">
      <formula>NOT(ISERROR(SEARCH("Operational",H5)))</formula>
    </cfRule>
    <cfRule type="containsText" dxfId="851" priority="1201" operator="containsText" text="Tactical">
      <formula>NOT(ISERROR(SEARCH("Tactical",H5)))</formula>
    </cfRule>
    <cfRule type="cellIs" dxfId="850" priority="1202" operator="equal">
      <formula>"Strategic"</formula>
    </cfRule>
  </conditionalFormatting>
  <conditionalFormatting sqref="H5">
    <cfRule type="containsText" dxfId="849" priority="1197" operator="containsText" text="Operational">
      <formula>NOT(ISERROR(SEARCH("Operational",H5)))</formula>
    </cfRule>
    <cfRule type="containsText" dxfId="848" priority="1198" operator="containsText" text="Tactical">
      <formula>NOT(ISERROR(SEARCH("Tactical",H5)))</formula>
    </cfRule>
    <cfRule type="cellIs" dxfId="847" priority="1199" operator="equal">
      <formula>"Strategic"</formula>
    </cfRule>
  </conditionalFormatting>
  <conditionalFormatting sqref="H6">
    <cfRule type="containsText" dxfId="846" priority="1194" operator="containsText" text="Operational">
      <formula>NOT(ISERROR(SEARCH("Operational",H6)))</formula>
    </cfRule>
    <cfRule type="containsText" dxfId="845" priority="1195" operator="containsText" text="Tactical">
      <formula>NOT(ISERROR(SEARCH("Tactical",H6)))</formula>
    </cfRule>
    <cfRule type="cellIs" dxfId="844" priority="1196" operator="equal">
      <formula>"Strategic"</formula>
    </cfRule>
  </conditionalFormatting>
  <conditionalFormatting sqref="H6">
    <cfRule type="containsText" dxfId="843" priority="1191" operator="containsText" text="Operational">
      <formula>NOT(ISERROR(SEARCH("Operational",H6)))</formula>
    </cfRule>
    <cfRule type="containsText" dxfId="842" priority="1192" operator="containsText" text="Tactical">
      <formula>NOT(ISERROR(SEARCH("Tactical",H6)))</formula>
    </cfRule>
    <cfRule type="cellIs" dxfId="841" priority="1193" operator="equal">
      <formula>"Strategic"</formula>
    </cfRule>
  </conditionalFormatting>
  <conditionalFormatting sqref="H6">
    <cfRule type="containsText" dxfId="840" priority="1188" operator="containsText" text="Operational">
      <formula>NOT(ISERROR(SEARCH("Operational",H6)))</formula>
    </cfRule>
    <cfRule type="containsText" dxfId="839" priority="1189" operator="containsText" text="Tactical">
      <formula>NOT(ISERROR(SEARCH("Tactical",H6)))</formula>
    </cfRule>
    <cfRule type="cellIs" dxfId="838" priority="1190" operator="equal">
      <formula>"Strategic"</formula>
    </cfRule>
  </conditionalFormatting>
  <conditionalFormatting sqref="H7">
    <cfRule type="containsText" dxfId="837" priority="1185" operator="containsText" text="Operational">
      <formula>NOT(ISERROR(SEARCH("Operational",H7)))</formula>
    </cfRule>
    <cfRule type="containsText" dxfId="836" priority="1186" operator="containsText" text="Tactical">
      <formula>NOT(ISERROR(SEARCH("Tactical",H7)))</formula>
    </cfRule>
    <cfRule type="cellIs" dxfId="835" priority="1187" operator="equal">
      <formula>"Strategic"</formula>
    </cfRule>
  </conditionalFormatting>
  <conditionalFormatting sqref="H7">
    <cfRule type="containsText" dxfId="834" priority="1182" operator="containsText" text="Operational">
      <formula>NOT(ISERROR(SEARCH("Operational",H7)))</formula>
    </cfRule>
    <cfRule type="containsText" dxfId="833" priority="1183" operator="containsText" text="Tactical">
      <formula>NOT(ISERROR(SEARCH("Tactical",H7)))</formula>
    </cfRule>
    <cfRule type="cellIs" dxfId="832" priority="1184" operator="equal">
      <formula>"Strategic"</formula>
    </cfRule>
  </conditionalFormatting>
  <conditionalFormatting sqref="H7">
    <cfRule type="containsText" dxfId="831" priority="1179" operator="containsText" text="Operational">
      <formula>NOT(ISERROR(SEARCH("Operational",H7)))</formula>
    </cfRule>
    <cfRule type="containsText" dxfId="830" priority="1180" operator="containsText" text="Tactical">
      <formula>NOT(ISERROR(SEARCH("Tactical",H7)))</formula>
    </cfRule>
    <cfRule type="cellIs" dxfId="829" priority="1181" operator="equal">
      <formula>"Strategic"</formula>
    </cfRule>
  </conditionalFormatting>
  <conditionalFormatting sqref="H8">
    <cfRule type="containsText" dxfId="828" priority="1176" operator="containsText" text="Operational">
      <formula>NOT(ISERROR(SEARCH("Operational",H8)))</formula>
    </cfRule>
    <cfRule type="containsText" dxfId="827" priority="1177" operator="containsText" text="Tactical">
      <formula>NOT(ISERROR(SEARCH("Tactical",H8)))</formula>
    </cfRule>
    <cfRule type="cellIs" dxfId="826" priority="1178" operator="equal">
      <formula>"Strategic"</formula>
    </cfRule>
  </conditionalFormatting>
  <conditionalFormatting sqref="H8">
    <cfRule type="containsText" dxfId="825" priority="1173" operator="containsText" text="Operational">
      <formula>NOT(ISERROR(SEARCH("Operational",H8)))</formula>
    </cfRule>
    <cfRule type="containsText" dxfId="824" priority="1174" operator="containsText" text="Tactical">
      <formula>NOT(ISERROR(SEARCH("Tactical",H8)))</formula>
    </cfRule>
    <cfRule type="cellIs" dxfId="823" priority="1175" operator="equal">
      <formula>"Strategic"</formula>
    </cfRule>
  </conditionalFormatting>
  <conditionalFormatting sqref="H8">
    <cfRule type="containsText" dxfId="822" priority="1170" operator="containsText" text="Operational">
      <formula>NOT(ISERROR(SEARCH("Operational",H8)))</formula>
    </cfRule>
    <cfRule type="containsText" dxfId="821" priority="1171" operator="containsText" text="Tactical">
      <formula>NOT(ISERROR(SEARCH("Tactical",H8)))</formula>
    </cfRule>
    <cfRule type="cellIs" dxfId="820" priority="1172" operator="equal">
      <formula>"Strategic"</formula>
    </cfRule>
  </conditionalFormatting>
  <conditionalFormatting sqref="H9">
    <cfRule type="containsText" dxfId="819" priority="1167" operator="containsText" text="Operational">
      <formula>NOT(ISERROR(SEARCH("Operational",H9)))</formula>
    </cfRule>
    <cfRule type="containsText" dxfId="818" priority="1168" operator="containsText" text="Tactical">
      <formula>NOT(ISERROR(SEARCH("Tactical",H9)))</formula>
    </cfRule>
    <cfRule type="cellIs" dxfId="817" priority="1169" operator="equal">
      <formula>"Strategic"</formula>
    </cfRule>
  </conditionalFormatting>
  <conditionalFormatting sqref="H9">
    <cfRule type="containsText" dxfId="816" priority="1164" operator="containsText" text="Operational">
      <formula>NOT(ISERROR(SEARCH("Operational",H9)))</formula>
    </cfRule>
    <cfRule type="containsText" dxfId="815" priority="1165" operator="containsText" text="Tactical">
      <formula>NOT(ISERROR(SEARCH("Tactical",H9)))</formula>
    </cfRule>
    <cfRule type="cellIs" dxfId="814" priority="1166" operator="equal">
      <formula>"Strategic"</formula>
    </cfRule>
  </conditionalFormatting>
  <conditionalFormatting sqref="H9">
    <cfRule type="containsText" dxfId="813" priority="1161" operator="containsText" text="Operational">
      <formula>NOT(ISERROR(SEARCH("Operational",H9)))</formula>
    </cfRule>
    <cfRule type="containsText" dxfId="812" priority="1162" operator="containsText" text="Tactical">
      <formula>NOT(ISERROR(SEARCH("Tactical",H9)))</formula>
    </cfRule>
    <cfRule type="cellIs" dxfId="811" priority="1163" operator="equal">
      <formula>"Strategic"</formula>
    </cfRule>
  </conditionalFormatting>
  <conditionalFormatting sqref="H11">
    <cfRule type="containsText" dxfId="810" priority="1149" operator="containsText" text="Operational">
      <formula>NOT(ISERROR(SEARCH("Operational",H11)))</formula>
    </cfRule>
    <cfRule type="containsText" dxfId="809" priority="1150" operator="containsText" text="Tactical">
      <formula>NOT(ISERROR(SEARCH("Tactical",H11)))</formula>
    </cfRule>
    <cfRule type="cellIs" dxfId="808" priority="1151" operator="equal">
      <formula>"Strategic"</formula>
    </cfRule>
  </conditionalFormatting>
  <conditionalFormatting sqref="H11">
    <cfRule type="containsText" dxfId="807" priority="1146" operator="containsText" text="Operational">
      <formula>NOT(ISERROR(SEARCH("Operational",H11)))</formula>
    </cfRule>
    <cfRule type="containsText" dxfId="806" priority="1147" operator="containsText" text="Tactical">
      <formula>NOT(ISERROR(SEARCH("Tactical",H11)))</formula>
    </cfRule>
    <cfRule type="cellIs" dxfId="805" priority="1148" operator="equal">
      <formula>"Strategic"</formula>
    </cfRule>
  </conditionalFormatting>
  <conditionalFormatting sqref="H12">
    <cfRule type="containsText" dxfId="804" priority="1143" operator="containsText" text="Operational">
      <formula>NOT(ISERROR(SEARCH("Operational",H12)))</formula>
    </cfRule>
    <cfRule type="containsText" dxfId="803" priority="1144" operator="containsText" text="Tactical">
      <formula>NOT(ISERROR(SEARCH("Tactical",H12)))</formula>
    </cfRule>
    <cfRule type="cellIs" dxfId="802" priority="1145" operator="equal">
      <formula>"Strategic"</formula>
    </cfRule>
  </conditionalFormatting>
  <conditionalFormatting sqref="H12">
    <cfRule type="containsText" dxfId="801" priority="1140" operator="containsText" text="Operational">
      <formula>NOT(ISERROR(SEARCH("Operational",H12)))</formula>
    </cfRule>
    <cfRule type="containsText" dxfId="800" priority="1141" operator="containsText" text="Tactical">
      <formula>NOT(ISERROR(SEARCH("Tactical",H12)))</formula>
    </cfRule>
    <cfRule type="cellIs" dxfId="799" priority="1142" operator="equal">
      <formula>"Strategic"</formula>
    </cfRule>
  </conditionalFormatting>
  <conditionalFormatting sqref="H13:H14 H16:H27 H30:H32 H36:H37 H39 H41">
    <cfRule type="containsText" dxfId="798" priority="1137" operator="containsText" text="Operational">
      <formula>NOT(ISERROR(SEARCH("Operational",H13)))</formula>
    </cfRule>
    <cfRule type="containsText" dxfId="797" priority="1138" operator="containsText" text="Tactical">
      <formula>NOT(ISERROR(SEARCH("Tactical",H13)))</formula>
    </cfRule>
    <cfRule type="cellIs" dxfId="796" priority="1139" operator="equal">
      <formula>"Strategic"</formula>
    </cfRule>
  </conditionalFormatting>
  <conditionalFormatting sqref="H13:H14 H16:H27 H30:H32 H36:H37 H39 H41">
    <cfRule type="containsText" dxfId="795" priority="1134" operator="containsText" text="Operational">
      <formula>NOT(ISERROR(SEARCH("Operational",H13)))</formula>
    </cfRule>
    <cfRule type="containsText" dxfId="794" priority="1135" operator="containsText" text="Tactical">
      <formula>NOT(ISERROR(SEARCH("Tactical",H13)))</formula>
    </cfRule>
    <cfRule type="cellIs" dxfId="793" priority="1136" operator="equal">
      <formula>"Strategic"</formula>
    </cfRule>
  </conditionalFormatting>
  <conditionalFormatting sqref="H42:H45 H47:H59">
    <cfRule type="containsText" dxfId="792" priority="1131" operator="containsText" text="Operational">
      <formula>NOT(ISERROR(SEARCH("Operational",H42)))</formula>
    </cfRule>
    <cfRule type="containsText" dxfId="791" priority="1132" operator="containsText" text="Tactical">
      <formula>NOT(ISERROR(SEARCH("Tactical",H42)))</formula>
    </cfRule>
    <cfRule type="cellIs" dxfId="790" priority="1133" operator="equal">
      <formula>"Strategic"</formula>
    </cfRule>
  </conditionalFormatting>
  <conditionalFormatting sqref="H42:H45 H47:H59">
    <cfRule type="containsText" dxfId="789" priority="1128" operator="containsText" text="Operational">
      <formula>NOT(ISERROR(SEARCH("Operational",H42)))</formula>
    </cfRule>
    <cfRule type="containsText" dxfId="788" priority="1129" operator="containsText" text="Tactical">
      <formula>NOT(ISERROR(SEARCH("Tactical",H42)))</formula>
    </cfRule>
    <cfRule type="cellIs" dxfId="787" priority="1130" operator="equal">
      <formula>"Strategic"</formula>
    </cfRule>
  </conditionalFormatting>
  <conditionalFormatting sqref="H61:H72 H75:H82 H84 H87:H88 H94">
    <cfRule type="containsText" dxfId="786" priority="1125" operator="containsText" text="Operational">
      <formula>NOT(ISERROR(SEARCH("Operational",H61)))</formula>
    </cfRule>
    <cfRule type="containsText" dxfId="785" priority="1126" operator="containsText" text="Tactical">
      <formula>NOT(ISERROR(SEARCH("Tactical",H61)))</formula>
    </cfRule>
    <cfRule type="cellIs" dxfId="784" priority="1127" operator="equal">
      <formula>"Strategic"</formula>
    </cfRule>
  </conditionalFormatting>
  <conditionalFormatting sqref="H61:H72 H75:H82 H84 H87:H88 H94">
    <cfRule type="containsText" dxfId="783" priority="1122" operator="containsText" text="Operational">
      <formula>NOT(ISERROR(SEARCH("Operational",H61)))</formula>
    </cfRule>
    <cfRule type="containsText" dxfId="782" priority="1123" operator="containsText" text="Tactical">
      <formula>NOT(ISERROR(SEARCH("Tactical",H61)))</formula>
    </cfRule>
    <cfRule type="cellIs" dxfId="781" priority="1124" operator="equal">
      <formula>"Strategic"</formula>
    </cfRule>
  </conditionalFormatting>
  <conditionalFormatting sqref="H95:H97">
    <cfRule type="containsText" dxfId="780" priority="1119" operator="containsText" text="Operational">
      <formula>NOT(ISERROR(SEARCH("Operational",H95)))</formula>
    </cfRule>
    <cfRule type="containsText" dxfId="779" priority="1120" operator="containsText" text="Tactical">
      <formula>NOT(ISERROR(SEARCH("Tactical",H95)))</formula>
    </cfRule>
    <cfRule type="cellIs" dxfId="778" priority="1121" operator="equal">
      <formula>"Strategic"</formula>
    </cfRule>
  </conditionalFormatting>
  <conditionalFormatting sqref="H95:H97">
    <cfRule type="containsText" dxfId="777" priority="1116" operator="containsText" text="Operational">
      <formula>NOT(ISERROR(SEARCH("Operational",H95)))</formula>
    </cfRule>
    <cfRule type="containsText" dxfId="776" priority="1117" operator="containsText" text="Tactical">
      <formula>NOT(ISERROR(SEARCH("Tactical",H95)))</formula>
    </cfRule>
    <cfRule type="cellIs" dxfId="775" priority="1118" operator="equal">
      <formula>"Strategic"</formula>
    </cfRule>
  </conditionalFormatting>
  <conditionalFormatting sqref="H152 H198">
    <cfRule type="containsText" dxfId="774" priority="1107" operator="containsText" text="Operational">
      <formula>NOT(ISERROR(SEARCH("Operational",H152)))</formula>
    </cfRule>
    <cfRule type="containsText" dxfId="773" priority="1108" operator="containsText" text="Tactical">
      <formula>NOT(ISERROR(SEARCH("Tactical",H152)))</formula>
    </cfRule>
    <cfRule type="cellIs" dxfId="772" priority="1109" operator="equal">
      <formula>"Strategic"</formula>
    </cfRule>
  </conditionalFormatting>
  <conditionalFormatting sqref="H152 H198">
    <cfRule type="containsText" dxfId="771" priority="1104" operator="containsText" text="Operational">
      <formula>NOT(ISERROR(SEARCH("Operational",H152)))</formula>
    </cfRule>
    <cfRule type="containsText" dxfId="770" priority="1105" operator="containsText" text="Tactical">
      <formula>NOT(ISERROR(SEARCH("Tactical",H152)))</formula>
    </cfRule>
    <cfRule type="cellIs" dxfId="769" priority="1106" operator="equal">
      <formula>"Strategic"</formula>
    </cfRule>
  </conditionalFormatting>
  <conditionalFormatting sqref="G47:G58">
    <cfRule type="containsText" dxfId="768" priority="1071" operator="containsText" text="Operational">
      <formula>NOT(ISERROR(SEARCH("Operational",G47)))</formula>
    </cfRule>
    <cfRule type="containsText" dxfId="767" priority="1072" operator="containsText" text="Tactical">
      <formula>NOT(ISERROR(SEARCH("Tactical",G47)))</formula>
    </cfRule>
    <cfRule type="cellIs" dxfId="766" priority="1073" operator="equal">
      <formula>"Strategic"</formula>
    </cfRule>
  </conditionalFormatting>
  <conditionalFormatting sqref="G59:G65">
    <cfRule type="containsText" dxfId="765" priority="1059" operator="containsText" text="Operational">
      <formula>NOT(ISERROR(SEARCH("Operational",G59)))</formula>
    </cfRule>
    <cfRule type="containsText" dxfId="764" priority="1060" operator="containsText" text="Tactical">
      <formula>NOT(ISERROR(SEARCH("Tactical",G59)))</formula>
    </cfRule>
    <cfRule type="cellIs" dxfId="763" priority="1061" operator="equal">
      <formula>"Strategic"</formula>
    </cfRule>
  </conditionalFormatting>
  <conditionalFormatting sqref="G5:G46">
    <cfRule type="containsText" dxfId="762" priority="1074" operator="containsText" text="Operational">
      <formula>NOT(ISERROR(SEARCH("Operational",G5)))</formula>
    </cfRule>
    <cfRule type="containsText" dxfId="761" priority="1075" operator="containsText" text="Tactical">
      <formula>NOT(ISERROR(SEARCH("Tactical",G5)))</formula>
    </cfRule>
    <cfRule type="cellIs" dxfId="760" priority="1076" operator="equal">
      <formula>"Strategic"</formula>
    </cfRule>
  </conditionalFormatting>
  <conditionalFormatting sqref="G66:G127">
    <cfRule type="containsText" dxfId="759" priority="1068" operator="containsText" text="Operational">
      <formula>NOT(ISERROR(SEARCH("Operational",G66)))</formula>
    </cfRule>
    <cfRule type="containsText" dxfId="758" priority="1069" operator="containsText" text="Tactical">
      <formula>NOT(ISERROR(SEARCH("Tactical",G66)))</formula>
    </cfRule>
    <cfRule type="cellIs" dxfId="757" priority="1070" operator="equal">
      <formula>"Strategic"</formula>
    </cfRule>
  </conditionalFormatting>
  <conditionalFormatting sqref="G128:G131">
    <cfRule type="containsText" dxfId="756" priority="1065" operator="containsText" text="Operational">
      <formula>NOT(ISERROR(SEARCH("Operational",G128)))</formula>
    </cfRule>
    <cfRule type="containsText" dxfId="755" priority="1066" operator="containsText" text="Tactical">
      <formula>NOT(ISERROR(SEARCH("Tactical",G128)))</formula>
    </cfRule>
    <cfRule type="cellIs" dxfId="754" priority="1067" operator="equal">
      <formula>"Strategic"</formula>
    </cfRule>
  </conditionalFormatting>
  <conditionalFormatting sqref="G132:G142">
    <cfRule type="containsText" dxfId="753" priority="1062" operator="containsText" text="Operational">
      <formula>NOT(ISERROR(SEARCH("Operational",G132)))</formula>
    </cfRule>
    <cfRule type="containsText" dxfId="752" priority="1063" operator="containsText" text="Tactical">
      <formula>NOT(ISERROR(SEARCH("Tactical",G132)))</formula>
    </cfRule>
    <cfRule type="cellIs" dxfId="751" priority="1064" operator="equal">
      <formula>"Strategic"</formula>
    </cfRule>
  </conditionalFormatting>
  <conditionalFormatting sqref="H154">
    <cfRule type="containsText" dxfId="750" priority="1030" operator="containsText" text="Operational">
      <formula>NOT(ISERROR(SEARCH("Operational",H154)))</formula>
    </cfRule>
    <cfRule type="containsText" dxfId="749" priority="1031" operator="containsText" text="Tactical">
      <formula>NOT(ISERROR(SEARCH("Tactical",H154)))</formula>
    </cfRule>
    <cfRule type="cellIs" dxfId="748" priority="1032" operator="equal">
      <formula>"Strategic"</formula>
    </cfRule>
  </conditionalFormatting>
  <conditionalFormatting sqref="F154">
    <cfRule type="containsText" dxfId="747" priority="1039" operator="containsText" text="Operational">
      <formula>NOT(ISERROR(SEARCH("Operational",F154)))</formula>
    </cfRule>
    <cfRule type="containsText" dxfId="746" priority="1040" operator="containsText" text="Tactical">
      <formula>NOT(ISERROR(SEARCH("Tactical",F154)))</formula>
    </cfRule>
    <cfRule type="cellIs" dxfId="745" priority="1041" operator="equal">
      <formula>"Strategic"</formula>
    </cfRule>
  </conditionalFormatting>
  <conditionalFormatting sqref="F154">
    <cfRule type="containsText" dxfId="744" priority="1036" operator="containsText" text="Operational">
      <formula>NOT(ISERROR(SEARCH("Operational",F154)))</formula>
    </cfRule>
    <cfRule type="containsText" dxfId="743" priority="1037" operator="containsText" text="Tactical">
      <formula>NOT(ISERROR(SEARCH("Tactical",F154)))</formula>
    </cfRule>
    <cfRule type="cellIs" dxfId="742" priority="1038" operator="equal">
      <formula>"Strategic"</formula>
    </cfRule>
  </conditionalFormatting>
  <conditionalFormatting sqref="G154">
    <cfRule type="containsText" dxfId="741" priority="1033" operator="containsText" text="Operational">
      <formula>NOT(ISERROR(SEARCH("Operational",G154)))</formula>
    </cfRule>
    <cfRule type="containsText" dxfId="740" priority="1034" operator="containsText" text="Tactical">
      <formula>NOT(ISERROR(SEARCH("Tactical",G154)))</formula>
    </cfRule>
    <cfRule type="cellIs" dxfId="739" priority="1035" operator="equal">
      <formula>"Strategic"</formula>
    </cfRule>
  </conditionalFormatting>
  <conditionalFormatting sqref="H15">
    <cfRule type="containsText" dxfId="738" priority="1009" operator="containsText" text="Operational">
      <formula>NOT(ISERROR(SEARCH("Operational",H15)))</formula>
    </cfRule>
    <cfRule type="containsText" dxfId="737" priority="1010" operator="containsText" text="Tactical">
      <formula>NOT(ISERROR(SEARCH("Tactical",H15)))</formula>
    </cfRule>
    <cfRule type="cellIs" dxfId="736" priority="1011" operator="equal">
      <formula>"Strategic"</formula>
    </cfRule>
  </conditionalFormatting>
  <conditionalFormatting sqref="H28">
    <cfRule type="containsText" dxfId="735" priority="1006" operator="containsText" text="Operational">
      <formula>NOT(ISERROR(SEARCH("Operational",H28)))</formula>
    </cfRule>
    <cfRule type="containsText" dxfId="734" priority="1007" operator="containsText" text="Tactical">
      <formula>NOT(ISERROR(SEARCH("Tactical",H28)))</formula>
    </cfRule>
    <cfRule type="cellIs" dxfId="733" priority="1008" operator="equal">
      <formula>"Strategic"</formula>
    </cfRule>
  </conditionalFormatting>
  <conditionalFormatting sqref="H10">
    <cfRule type="containsText" dxfId="732" priority="1012" operator="containsText" text="Operational">
      <formula>NOT(ISERROR(SEARCH("Operational",H10)))</formula>
    </cfRule>
    <cfRule type="containsText" dxfId="731" priority="1013" operator="containsText" text="Tactical">
      <formula>NOT(ISERROR(SEARCH("Tactical",H10)))</formula>
    </cfRule>
    <cfRule type="cellIs" dxfId="730" priority="1014" operator="equal">
      <formula>"Strategic"</formula>
    </cfRule>
  </conditionalFormatting>
  <conditionalFormatting sqref="H29">
    <cfRule type="containsText" dxfId="729" priority="1003" operator="containsText" text="Operational">
      <formula>NOT(ISERROR(SEARCH("Operational",H29)))</formula>
    </cfRule>
    <cfRule type="containsText" dxfId="728" priority="1004" operator="containsText" text="Tactical">
      <formula>NOT(ISERROR(SEARCH("Tactical",H29)))</formula>
    </cfRule>
    <cfRule type="cellIs" dxfId="727" priority="1005" operator="equal">
      <formula>"Strategic"</formula>
    </cfRule>
  </conditionalFormatting>
  <conditionalFormatting sqref="H159">
    <cfRule type="containsText" dxfId="726" priority="852" operator="containsText" text="Operational">
      <formula>NOT(ISERROR(SEARCH("Operational",H159)))</formula>
    </cfRule>
    <cfRule type="containsText" dxfId="725" priority="853" operator="containsText" text="Tactical">
      <formula>NOT(ISERROR(SEARCH("Tactical",H159)))</formula>
    </cfRule>
    <cfRule type="cellIs" dxfId="724" priority="854" operator="equal">
      <formula>"Strategic"</formula>
    </cfRule>
  </conditionalFormatting>
  <conditionalFormatting sqref="H33">
    <cfRule type="containsText" dxfId="723" priority="997" operator="containsText" text="Operational">
      <formula>NOT(ISERROR(SEARCH("Operational",H33)))</formula>
    </cfRule>
    <cfRule type="containsText" dxfId="722" priority="998" operator="containsText" text="Tactical">
      <formula>NOT(ISERROR(SEARCH("Tactical",H33)))</formula>
    </cfRule>
    <cfRule type="cellIs" dxfId="721" priority="999" operator="equal">
      <formula>"Strategic"</formula>
    </cfRule>
  </conditionalFormatting>
  <conditionalFormatting sqref="H34">
    <cfRule type="containsText" dxfId="720" priority="994" operator="containsText" text="Operational">
      <formula>NOT(ISERROR(SEARCH("Operational",H34)))</formula>
    </cfRule>
    <cfRule type="containsText" dxfId="719" priority="995" operator="containsText" text="Tactical">
      <formula>NOT(ISERROR(SEARCH("Tactical",H34)))</formula>
    </cfRule>
    <cfRule type="cellIs" dxfId="718" priority="996" operator="equal">
      <formula>"Strategic"</formula>
    </cfRule>
  </conditionalFormatting>
  <conditionalFormatting sqref="H35">
    <cfRule type="containsText" dxfId="717" priority="991" operator="containsText" text="Operational">
      <formula>NOT(ISERROR(SEARCH("Operational",H35)))</formula>
    </cfRule>
    <cfRule type="containsText" dxfId="716" priority="992" operator="containsText" text="Tactical">
      <formula>NOT(ISERROR(SEARCH("Tactical",H35)))</formula>
    </cfRule>
    <cfRule type="cellIs" dxfId="715" priority="993" operator="equal">
      <formula>"Strategic"</formula>
    </cfRule>
  </conditionalFormatting>
  <conditionalFormatting sqref="H38">
    <cfRule type="containsText" dxfId="714" priority="988" operator="containsText" text="Operational">
      <formula>NOT(ISERROR(SEARCH("Operational",H38)))</formula>
    </cfRule>
    <cfRule type="containsText" dxfId="713" priority="989" operator="containsText" text="Tactical">
      <formula>NOT(ISERROR(SEARCH("Tactical",H38)))</formula>
    </cfRule>
    <cfRule type="cellIs" dxfId="712" priority="990" operator="equal">
      <formula>"Strategic"</formula>
    </cfRule>
  </conditionalFormatting>
  <conditionalFormatting sqref="H40">
    <cfRule type="containsText" dxfId="711" priority="985" operator="containsText" text="Operational">
      <formula>NOT(ISERROR(SEARCH("Operational",H40)))</formula>
    </cfRule>
    <cfRule type="containsText" dxfId="710" priority="986" operator="containsText" text="Tactical">
      <formula>NOT(ISERROR(SEARCH("Tactical",H40)))</formula>
    </cfRule>
    <cfRule type="cellIs" dxfId="709" priority="987" operator="equal">
      <formula>"Strategic"</formula>
    </cfRule>
  </conditionalFormatting>
  <conditionalFormatting sqref="H46">
    <cfRule type="containsText" dxfId="708" priority="982" operator="containsText" text="Operational">
      <formula>NOT(ISERROR(SEARCH("Operational",H46)))</formula>
    </cfRule>
    <cfRule type="containsText" dxfId="707" priority="983" operator="containsText" text="Tactical">
      <formula>NOT(ISERROR(SEARCH("Tactical",H46)))</formula>
    </cfRule>
    <cfRule type="cellIs" dxfId="706" priority="984" operator="equal">
      <formula>"Strategic"</formula>
    </cfRule>
  </conditionalFormatting>
  <conditionalFormatting sqref="H60">
    <cfRule type="containsText" dxfId="705" priority="979" operator="containsText" text="Operational">
      <formula>NOT(ISERROR(SEARCH("Operational",H60)))</formula>
    </cfRule>
    <cfRule type="containsText" dxfId="704" priority="980" operator="containsText" text="Tactical">
      <formula>NOT(ISERROR(SEARCH("Tactical",H60)))</formula>
    </cfRule>
    <cfRule type="cellIs" dxfId="703" priority="981" operator="equal">
      <formula>"Strategic"</formula>
    </cfRule>
  </conditionalFormatting>
  <conditionalFormatting sqref="H73">
    <cfRule type="containsText" dxfId="702" priority="976" operator="containsText" text="Operational">
      <formula>NOT(ISERROR(SEARCH("Operational",H73)))</formula>
    </cfRule>
    <cfRule type="containsText" dxfId="701" priority="977" operator="containsText" text="Tactical">
      <formula>NOT(ISERROR(SEARCH("Tactical",H73)))</formula>
    </cfRule>
    <cfRule type="cellIs" dxfId="700" priority="978" operator="equal">
      <formula>"Strategic"</formula>
    </cfRule>
  </conditionalFormatting>
  <conditionalFormatting sqref="H74">
    <cfRule type="containsText" dxfId="699" priority="973" operator="containsText" text="Operational">
      <formula>NOT(ISERROR(SEARCH("Operational",H74)))</formula>
    </cfRule>
    <cfRule type="containsText" dxfId="698" priority="974" operator="containsText" text="Tactical">
      <formula>NOT(ISERROR(SEARCH("Tactical",H74)))</formula>
    </cfRule>
    <cfRule type="cellIs" dxfId="697" priority="975" operator="equal">
      <formula>"Strategic"</formula>
    </cfRule>
  </conditionalFormatting>
  <conditionalFormatting sqref="H83">
    <cfRule type="containsText" dxfId="696" priority="970" operator="containsText" text="Operational">
      <formula>NOT(ISERROR(SEARCH("Operational",H83)))</formula>
    </cfRule>
    <cfRule type="containsText" dxfId="695" priority="971" operator="containsText" text="Tactical">
      <formula>NOT(ISERROR(SEARCH("Tactical",H83)))</formula>
    </cfRule>
    <cfRule type="cellIs" dxfId="694" priority="972" operator="equal">
      <formula>"Strategic"</formula>
    </cfRule>
  </conditionalFormatting>
  <conditionalFormatting sqref="H85">
    <cfRule type="containsText" dxfId="693" priority="967" operator="containsText" text="Operational">
      <formula>NOT(ISERROR(SEARCH("Operational",H85)))</formula>
    </cfRule>
    <cfRule type="containsText" dxfId="692" priority="968" operator="containsText" text="Tactical">
      <formula>NOT(ISERROR(SEARCH("Tactical",H85)))</formula>
    </cfRule>
    <cfRule type="cellIs" dxfId="691" priority="969" operator="equal">
      <formula>"Strategic"</formula>
    </cfRule>
  </conditionalFormatting>
  <conditionalFormatting sqref="H86">
    <cfRule type="containsText" dxfId="690" priority="964" operator="containsText" text="Operational">
      <formula>NOT(ISERROR(SEARCH("Operational",H86)))</formula>
    </cfRule>
    <cfRule type="containsText" dxfId="689" priority="965" operator="containsText" text="Tactical">
      <formula>NOT(ISERROR(SEARCH("Tactical",H86)))</formula>
    </cfRule>
    <cfRule type="cellIs" dxfId="688" priority="966" operator="equal">
      <formula>"Strategic"</formula>
    </cfRule>
  </conditionalFormatting>
  <conditionalFormatting sqref="H89:H93">
    <cfRule type="containsText" dxfId="687" priority="961" operator="containsText" text="Operational">
      <formula>NOT(ISERROR(SEARCH("Operational",H89)))</formula>
    </cfRule>
    <cfRule type="containsText" dxfId="686" priority="962" operator="containsText" text="Tactical">
      <formula>NOT(ISERROR(SEARCH("Tactical",H89)))</formula>
    </cfRule>
    <cfRule type="cellIs" dxfId="685" priority="963" operator="equal">
      <formula>"Strategic"</formula>
    </cfRule>
  </conditionalFormatting>
  <conditionalFormatting sqref="H98">
    <cfRule type="containsText" dxfId="684" priority="958" operator="containsText" text="Operational">
      <formula>NOT(ISERROR(SEARCH("Operational",H98)))</formula>
    </cfRule>
    <cfRule type="containsText" dxfId="683" priority="959" operator="containsText" text="Tactical">
      <formula>NOT(ISERROR(SEARCH("Tactical",H98)))</formula>
    </cfRule>
    <cfRule type="cellIs" dxfId="682" priority="960" operator="equal">
      <formula>"Strategic"</formula>
    </cfRule>
  </conditionalFormatting>
  <conditionalFormatting sqref="H104">
    <cfRule type="containsText" dxfId="681" priority="955" operator="containsText" text="Operational">
      <formula>NOT(ISERROR(SEARCH("Operational",H104)))</formula>
    </cfRule>
    <cfRule type="containsText" dxfId="680" priority="956" operator="containsText" text="Tactical">
      <formula>NOT(ISERROR(SEARCH("Tactical",H104)))</formula>
    </cfRule>
    <cfRule type="cellIs" dxfId="679" priority="957" operator="equal">
      <formula>"Strategic"</formula>
    </cfRule>
  </conditionalFormatting>
  <conditionalFormatting sqref="H105">
    <cfRule type="containsText" dxfId="678" priority="952" operator="containsText" text="Operational">
      <formula>NOT(ISERROR(SEARCH("Operational",H105)))</formula>
    </cfRule>
    <cfRule type="containsText" dxfId="677" priority="953" operator="containsText" text="Tactical">
      <formula>NOT(ISERROR(SEARCH("Tactical",H105)))</formula>
    </cfRule>
    <cfRule type="cellIs" dxfId="676" priority="954" operator="equal">
      <formula>"Strategic"</formula>
    </cfRule>
  </conditionalFormatting>
  <conditionalFormatting sqref="H108">
    <cfRule type="containsText" dxfId="675" priority="949" operator="containsText" text="Operational">
      <formula>NOT(ISERROR(SEARCH("Operational",H108)))</formula>
    </cfRule>
    <cfRule type="containsText" dxfId="674" priority="950" operator="containsText" text="Tactical">
      <formula>NOT(ISERROR(SEARCH("Tactical",H108)))</formula>
    </cfRule>
    <cfRule type="cellIs" dxfId="673" priority="951" operator="equal">
      <formula>"Strategic"</formula>
    </cfRule>
  </conditionalFormatting>
  <conditionalFormatting sqref="H115">
    <cfRule type="containsText" dxfId="672" priority="946" operator="containsText" text="Operational">
      <formula>NOT(ISERROR(SEARCH("Operational",H115)))</formula>
    </cfRule>
    <cfRule type="containsText" dxfId="671" priority="947" operator="containsText" text="Tactical">
      <formula>NOT(ISERROR(SEARCH("Tactical",H115)))</formula>
    </cfRule>
    <cfRule type="cellIs" dxfId="670" priority="948" operator="equal">
      <formula>"Strategic"</formula>
    </cfRule>
  </conditionalFormatting>
  <conditionalFormatting sqref="H116">
    <cfRule type="containsText" dxfId="669" priority="943" operator="containsText" text="Operational">
      <formula>NOT(ISERROR(SEARCH("Operational",H116)))</formula>
    </cfRule>
    <cfRule type="containsText" dxfId="668" priority="944" operator="containsText" text="Tactical">
      <formula>NOT(ISERROR(SEARCH("Tactical",H116)))</formula>
    </cfRule>
    <cfRule type="cellIs" dxfId="667" priority="945" operator="equal">
      <formula>"Strategic"</formula>
    </cfRule>
  </conditionalFormatting>
  <conditionalFormatting sqref="H118">
    <cfRule type="containsText" dxfId="666" priority="940" operator="containsText" text="Operational">
      <formula>NOT(ISERROR(SEARCH("Operational",H118)))</formula>
    </cfRule>
    <cfRule type="containsText" dxfId="665" priority="941" operator="containsText" text="Tactical">
      <formula>NOT(ISERROR(SEARCH("Tactical",H118)))</formula>
    </cfRule>
    <cfRule type="cellIs" dxfId="664" priority="942" operator="equal">
      <formula>"Strategic"</formula>
    </cfRule>
  </conditionalFormatting>
  <conditionalFormatting sqref="H120">
    <cfRule type="containsText" dxfId="663" priority="937" operator="containsText" text="Operational">
      <formula>NOT(ISERROR(SEARCH("Operational",H120)))</formula>
    </cfRule>
    <cfRule type="containsText" dxfId="662" priority="938" operator="containsText" text="Tactical">
      <formula>NOT(ISERROR(SEARCH("Tactical",H120)))</formula>
    </cfRule>
    <cfRule type="cellIs" dxfId="661" priority="939" operator="equal">
      <formula>"Strategic"</formula>
    </cfRule>
  </conditionalFormatting>
  <conditionalFormatting sqref="H123">
    <cfRule type="containsText" dxfId="660" priority="934" operator="containsText" text="Operational">
      <formula>NOT(ISERROR(SEARCH("Operational",H123)))</formula>
    </cfRule>
    <cfRule type="containsText" dxfId="659" priority="935" operator="containsText" text="Tactical">
      <formula>NOT(ISERROR(SEARCH("Tactical",H123)))</formula>
    </cfRule>
    <cfRule type="cellIs" dxfId="658" priority="936" operator="equal">
      <formula>"Strategic"</formula>
    </cfRule>
  </conditionalFormatting>
  <conditionalFormatting sqref="H128">
    <cfRule type="containsText" dxfId="657" priority="931" operator="containsText" text="Operational">
      <formula>NOT(ISERROR(SEARCH("Operational",H128)))</formula>
    </cfRule>
    <cfRule type="containsText" dxfId="656" priority="932" operator="containsText" text="Tactical">
      <formula>NOT(ISERROR(SEARCH("Tactical",H128)))</formula>
    </cfRule>
    <cfRule type="cellIs" dxfId="655" priority="933" operator="equal">
      <formula>"Strategic"</formula>
    </cfRule>
  </conditionalFormatting>
  <conditionalFormatting sqref="H133">
    <cfRule type="containsText" dxfId="654" priority="928" operator="containsText" text="Operational">
      <formula>NOT(ISERROR(SEARCH("Operational",H133)))</formula>
    </cfRule>
    <cfRule type="containsText" dxfId="653" priority="929" operator="containsText" text="Tactical">
      <formula>NOT(ISERROR(SEARCH("Tactical",H133)))</formula>
    </cfRule>
    <cfRule type="cellIs" dxfId="652" priority="930" operator="equal">
      <formula>"Strategic"</formula>
    </cfRule>
  </conditionalFormatting>
  <conditionalFormatting sqref="H135">
    <cfRule type="containsText" dxfId="651" priority="925" operator="containsText" text="Operational">
      <formula>NOT(ISERROR(SEARCH("Operational",H135)))</formula>
    </cfRule>
    <cfRule type="containsText" dxfId="650" priority="926" operator="containsText" text="Tactical">
      <formula>NOT(ISERROR(SEARCH("Tactical",H135)))</formula>
    </cfRule>
    <cfRule type="cellIs" dxfId="649" priority="927" operator="equal">
      <formula>"Strategic"</formula>
    </cfRule>
  </conditionalFormatting>
  <conditionalFormatting sqref="H138">
    <cfRule type="containsText" dxfId="648" priority="922" operator="containsText" text="Operational">
      <formula>NOT(ISERROR(SEARCH("Operational",H138)))</formula>
    </cfRule>
    <cfRule type="containsText" dxfId="647" priority="923" operator="containsText" text="Tactical">
      <formula>NOT(ISERROR(SEARCH("Tactical",H138)))</formula>
    </cfRule>
    <cfRule type="cellIs" dxfId="646" priority="924" operator="equal">
      <formula>"Strategic"</formula>
    </cfRule>
  </conditionalFormatting>
  <conditionalFormatting sqref="H155">
    <cfRule type="containsText" dxfId="645" priority="919" operator="containsText" text="Operational">
      <formula>NOT(ISERROR(SEARCH("Operational",H155)))</formula>
    </cfRule>
    <cfRule type="containsText" dxfId="644" priority="920" operator="containsText" text="Tactical">
      <formula>NOT(ISERROR(SEARCH("Tactical",H155)))</formula>
    </cfRule>
    <cfRule type="cellIs" dxfId="643" priority="921" operator="equal">
      <formula>"Strategic"</formula>
    </cfRule>
  </conditionalFormatting>
  <conditionalFormatting sqref="F156">
    <cfRule type="containsText" dxfId="642" priority="906" operator="containsText" text="Operational">
      <formula>NOT(ISERROR(SEARCH("Operational",F156)))</formula>
    </cfRule>
    <cfRule type="containsText" dxfId="641" priority="907" operator="containsText" text="Tactical">
      <formula>NOT(ISERROR(SEARCH("Tactical",F156)))</formula>
    </cfRule>
    <cfRule type="cellIs" dxfId="640" priority="908" operator="equal">
      <formula>"Strategic"</formula>
    </cfRule>
  </conditionalFormatting>
  <conditionalFormatting sqref="G156">
    <cfRule type="containsText" dxfId="639" priority="903" operator="containsText" text="Operational">
      <formula>NOT(ISERROR(SEARCH("Operational",G156)))</formula>
    </cfRule>
    <cfRule type="containsText" dxfId="638" priority="904" operator="containsText" text="Tactical">
      <formula>NOT(ISERROR(SEARCH("Tactical",G156)))</formula>
    </cfRule>
    <cfRule type="cellIs" dxfId="637" priority="905" operator="equal">
      <formula>"Strategic"</formula>
    </cfRule>
  </conditionalFormatting>
  <conditionalFormatting sqref="H156">
    <cfRule type="containsText" dxfId="636" priority="900" operator="containsText" text="Operational">
      <formula>NOT(ISERROR(SEARCH("Operational",H156)))</formula>
    </cfRule>
    <cfRule type="containsText" dxfId="635" priority="901" operator="containsText" text="Tactical">
      <formula>NOT(ISERROR(SEARCH("Tactical",H156)))</formula>
    </cfRule>
    <cfRule type="cellIs" dxfId="634" priority="902" operator="equal">
      <formula>"Strategic"</formula>
    </cfRule>
  </conditionalFormatting>
  <conditionalFormatting sqref="D157">
    <cfRule type="containsText" dxfId="633" priority="894" operator="containsText" text="Operational">
      <formula>NOT(ISERROR(SEARCH("Operational",D157)))</formula>
    </cfRule>
    <cfRule type="containsText" dxfId="632" priority="895" operator="containsText" text="Tactical">
      <formula>NOT(ISERROR(SEARCH("Tactical",D157)))</formula>
    </cfRule>
    <cfRule type="cellIs" dxfId="631" priority="896" operator="equal">
      <formula>"Strategic"</formula>
    </cfRule>
  </conditionalFormatting>
  <conditionalFormatting sqref="F157">
    <cfRule type="containsText" dxfId="630" priority="891" operator="containsText" text="Operational">
      <formula>NOT(ISERROR(SEARCH("Operational",F157)))</formula>
    </cfRule>
    <cfRule type="containsText" dxfId="629" priority="892" operator="containsText" text="Tactical">
      <formula>NOT(ISERROR(SEARCH("Tactical",F157)))</formula>
    </cfRule>
    <cfRule type="cellIs" dxfId="628" priority="893" operator="equal">
      <formula>"Strategic"</formula>
    </cfRule>
  </conditionalFormatting>
  <conditionalFormatting sqref="F158">
    <cfRule type="containsText" dxfId="627" priority="882" operator="containsText" text="Operational">
      <formula>NOT(ISERROR(SEARCH("Operational",F158)))</formula>
    </cfRule>
    <cfRule type="containsText" dxfId="626" priority="883" operator="containsText" text="Tactical">
      <formula>NOT(ISERROR(SEARCH("Tactical",F158)))</formula>
    </cfRule>
    <cfRule type="cellIs" dxfId="625" priority="884" operator="equal">
      <formula>"Strategic"</formula>
    </cfRule>
  </conditionalFormatting>
  <conditionalFormatting sqref="G157">
    <cfRule type="containsText" dxfId="624" priority="885" operator="containsText" text="Operational">
      <formula>NOT(ISERROR(SEARCH("Operational",G157)))</formula>
    </cfRule>
    <cfRule type="containsText" dxfId="623" priority="886" operator="containsText" text="Tactical">
      <formula>NOT(ISERROR(SEARCH("Tactical",G157)))</formula>
    </cfRule>
    <cfRule type="cellIs" dxfId="622" priority="887" operator="equal">
      <formula>"Strategic"</formula>
    </cfRule>
  </conditionalFormatting>
  <conditionalFormatting sqref="F158">
    <cfRule type="containsText" dxfId="621" priority="879" operator="containsText" text="Operational">
      <formula>NOT(ISERROR(SEARCH("Operational",F158)))</formula>
    </cfRule>
    <cfRule type="containsText" dxfId="620" priority="880" operator="containsText" text="Tactical">
      <formula>NOT(ISERROR(SEARCH("Tactical",F158)))</formula>
    </cfRule>
    <cfRule type="cellIs" dxfId="619" priority="881" operator="equal">
      <formula>"Strategic"</formula>
    </cfRule>
  </conditionalFormatting>
  <conditionalFormatting sqref="F159">
    <cfRule type="containsText" dxfId="618" priority="855" operator="containsText" text="Operational">
      <formula>NOT(ISERROR(SEARCH("Operational",F159)))</formula>
    </cfRule>
    <cfRule type="containsText" dxfId="617" priority="856" operator="containsText" text="Tactical">
      <formula>NOT(ISERROR(SEARCH("Tactical",F159)))</formula>
    </cfRule>
    <cfRule type="cellIs" dxfId="616" priority="857" operator="equal">
      <formula>"Strategic"</formula>
    </cfRule>
  </conditionalFormatting>
  <conditionalFormatting sqref="G158">
    <cfRule type="containsText" dxfId="615" priority="873" operator="containsText" text="Operational">
      <formula>NOT(ISERROR(SEARCH("Operational",G158)))</formula>
    </cfRule>
    <cfRule type="containsText" dxfId="614" priority="874" operator="containsText" text="Tactical">
      <formula>NOT(ISERROR(SEARCH("Tactical",G158)))</formula>
    </cfRule>
    <cfRule type="cellIs" dxfId="613" priority="875" operator="equal">
      <formula>"Strategic"</formula>
    </cfRule>
  </conditionalFormatting>
  <conditionalFormatting sqref="H158">
    <cfRule type="containsText" dxfId="612" priority="870" operator="containsText" text="Operational">
      <formula>NOT(ISERROR(SEARCH("Operational",H158)))</formula>
    </cfRule>
    <cfRule type="containsText" dxfId="611" priority="871" operator="containsText" text="Tactical">
      <formula>NOT(ISERROR(SEARCH("Tactical",H158)))</formula>
    </cfRule>
    <cfRule type="cellIs" dxfId="610" priority="872" operator="equal">
      <formula>"Strategic"</formula>
    </cfRule>
  </conditionalFormatting>
  <conditionalFormatting sqref="F170">
    <cfRule type="containsText" dxfId="609" priority="696" operator="containsText" text="Operational">
      <formula>NOT(ISERROR(SEARCH("Operational",F170)))</formula>
    </cfRule>
    <cfRule type="containsText" dxfId="608" priority="697" operator="containsText" text="Tactical">
      <formula>NOT(ISERROR(SEARCH("Tactical",F170)))</formula>
    </cfRule>
    <cfRule type="cellIs" dxfId="607" priority="698" operator="equal">
      <formula>"Strategic"</formula>
    </cfRule>
  </conditionalFormatting>
  <conditionalFormatting sqref="G166">
    <cfRule type="containsText" dxfId="606" priority="723" operator="containsText" text="Operational">
      <formula>NOT(ISERROR(SEARCH("Operational",G166)))</formula>
    </cfRule>
    <cfRule type="containsText" dxfId="605" priority="724" operator="containsText" text="Tactical">
      <formula>NOT(ISERROR(SEARCH("Tactical",G166)))</formula>
    </cfRule>
    <cfRule type="cellIs" dxfId="604" priority="725" operator="equal">
      <formula>"Strategic"</formula>
    </cfRule>
  </conditionalFormatting>
  <conditionalFormatting sqref="D159">
    <cfRule type="containsText" dxfId="603" priority="861" operator="containsText" text="Operational">
      <formula>NOT(ISERROR(SEARCH("Operational",D159)))</formula>
    </cfRule>
    <cfRule type="containsText" dxfId="602" priority="862" operator="containsText" text="Tactical">
      <formula>NOT(ISERROR(SEARCH("Tactical",D159)))</formula>
    </cfRule>
    <cfRule type="cellIs" dxfId="601" priority="863" operator="equal">
      <formula>"Strategic"</formula>
    </cfRule>
  </conditionalFormatting>
  <conditionalFormatting sqref="D171">
    <cfRule type="containsText" dxfId="600" priority="672" operator="containsText" text="Operational">
      <formula>NOT(ISERROR(SEARCH("Operational",D171)))</formula>
    </cfRule>
    <cfRule type="containsText" dxfId="599" priority="673" operator="containsText" text="Tactical">
      <formula>NOT(ISERROR(SEARCH("Tactical",D171)))</formula>
    </cfRule>
    <cfRule type="cellIs" dxfId="598" priority="674" operator="equal">
      <formula>"Strategic"</formula>
    </cfRule>
  </conditionalFormatting>
  <conditionalFormatting sqref="H169">
    <cfRule type="containsText" dxfId="597" priority="708" operator="containsText" text="Operational">
      <formula>NOT(ISERROR(SEARCH("Operational",H169)))</formula>
    </cfRule>
    <cfRule type="containsText" dxfId="596" priority="709" operator="containsText" text="Tactical">
      <formula>NOT(ISERROR(SEARCH("Tactical",H169)))</formula>
    </cfRule>
    <cfRule type="cellIs" dxfId="595" priority="710" operator="equal">
      <formula>"Strategic"</formula>
    </cfRule>
  </conditionalFormatting>
  <conditionalFormatting sqref="F170">
    <cfRule type="containsText" dxfId="594" priority="693" operator="containsText" text="Operational">
      <formula>NOT(ISERROR(SEARCH("Operational",F170)))</formula>
    </cfRule>
    <cfRule type="containsText" dxfId="593" priority="694" operator="containsText" text="Tactical">
      <formula>NOT(ISERROR(SEARCH("Tactical",F170)))</formula>
    </cfRule>
    <cfRule type="cellIs" dxfId="592" priority="695" operator="equal">
      <formula>"Strategic"</formula>
    </cfRule>
  </conditionalFormatting>
  <conditionalFormatting sqref="G161">
    <cfRule type="containsText" dxfId="591" priority="825" operator="containsText" text="Operational">
      <formula>NOT(ISERROR(SEARCH("Operational",G161)))</formula>
    </cfRule>
    <cfRule type="containsText" dxfId="590" priority="826" operator="containsText" text="Tactical">
      <formula>NOT(ISERROR(SEARCH("Tactical",G161)))</formula>
    </cfRule>
    <cfRule type="cellIs" dxfId="589" priority="827" operator="equal">
      <formula>"Strategic"</formula>
    </cfRule>
  </conditionalFormatting>
  <conditionalFormatting sqref="F161">
    <cfRule type="containsText" dxfId="588" priority="819" operator="containsText" text="Operational">
      <formula>NOT(ISERROR(SEARCH("Operational",F161)))</formula>
    </cfRule>
    <cfRule type="containsText" dxfId="587" priority="820" operator="containsText" text="Tactical">
      <formula>NOT(ISERROR(SEARCH("Tactical",F161)))</formula>
    </cfRule>
    <cfRule type="cellIs" dxfId="586" priority="821" operator="equal">
      <formula>"Strategic"</formula>
    </cfRule>
  </conditionalFormatting>
  <conditionalFormatting sqref="F161">
    <cfRule type="containsText" dxfId="585" priority="822" operator="containsText" text="Operational">
      <formula>NOT(ISERROR(SEARCH("Operational",F161)))</formula>
    </cfRule>
    <cfRule type="containsText" dxfId="584" priority="823" operator="containsText" text="Tactical">
      <formula>NOT(ISERROR(SEARCH("Tactical",F161)))</formula>
    </cfRule>
    <cfRule type="cellIs" dxfId="583" priority="824" operator="equal">
      <formula>"Strategic"</formula>
    </cfRule>
  </conditionalFormatting>
  <conditionalFormatting sqref="H161">
    <cfRule type="containsText" dxfId="582" priority="816" operator="containsText" text="Operational">
      <formula>NOT(ISERROR(SEARCH("Operational",H161)))</formula>
    </cfRule>
    <cfRule type="containsText" dxfId="581" priority="817" operator="containsText" text="Tactical">
      <formula>NOT(ISERROR(SEARCH("Tactical",H161)))</formula>
    </cfRule>
    <cfRule type="cellIs" dxfId="580" priority="818" operator="equal">
      <formula>"Strategic"</formula>
    </cfRule>
  </conditionalFormatting>
  <conditionalFormatting sqref="G162">
    <cfRule type="containsText" dxfId="579" priority="810" operator="containsText" text="Operational">
      <formula>NOT(ISERROR(SEARCH("Operational",G162)))</formula>
    </cfRule>
    <cfRule type="containsText" dxfId="578" priority="811" operator="containsText" text="Tactical">
      <formula>NOT(ISERROR(SEARCH("Tactical",G162)))</formula>
    </cfRule>
    <cfRule type="cellIs" dxfId="577" priority="812" operator="equal">
      <formula>"Strategic"</formula>
    </cfRule>
  </conditionalFormatting>
  <conditionalFormatting sqref="F166">
    <cfRule type="containsText" dxfId="576" priority="753" operator="containsText" text="Operational">
      <formula>NOT(ISERROR(SEARCH("Operational",F166)))</formula>
    </cfRule>
    <cfRule type="containsText" dxfId="575" priority="754" operator="containsText" text="Tactical">
      <formula>NOT(ISERROR(SEARCH("Tactical",F166)))</formula>
    </cfRule>
    <cfRule type="cellIs" dxfId="574" priority="755" operator="equal">
      <formula>"Strategic"</formula>
    </cfRule>
  </conditionalFormatting>
  <conditionalFormatting sqref="F162">
    <cfRule type="containsText" dxfId="573" priority="801" operator="containsText" text="Operational">
      <formula>NOT(ISERROR(SEARCH("Operational",F162)))</formula>
    </cfRule>
    <cfRule type="containsText" dxfId="572" priority="802" operator="containsText" text="Tactical">
      <formula>NOT(ISERROR(SEARCH("Tactical",F162)))</formula>
    </cfRule>
    <cfRule type="cellIs" dxfId="571" priority="803" operator="equal">
      <formula>"Strategic"</formula>
    </cfRule>
  </conditionalFormatting>
  <conditionalFormatting sqref="F162">
    <cfRule type="containsText" dxfId="570" priority="804" operator="containsText" text="Operational">
      <formula>NOT(ISERROR(SEARCH("Operational",F162)))</formula>
    </cfRule>
    <cfRule type="containsText" dxfId="569" priority="805" operator="containsText" text="Tactical">
      <formula>NOT(ISERROR(SEARCH("Tactical",F162)))</formula>
    </cfRule>
    <cfRule type="cellIs" dxfId="568" priority="806" operator="equal">
      <formula>"Strategic"</formula>
    </cfRule>
  </conditionalFormatting>
  <conditionalFormatting sqref="H162">
    <cfRule type="containsText" dxfId="567" priority="798" operator="containsText" text="Operational">
      <formula>NOT(ISERROR(SEARCH("Operational",H162)))</formula>
    </cfRule>
    <cfRule type="containsText" dxfId="566" priority="799" operator="containsText" text="Tactical">
      <formula>NOT(ISERROR(SEARCH("Tactical",H162)))</formula>
    </cfRule>
    <cfRule type="cellIs" dxfId="565" priority="800" operator="equal">
      <formula>"Strategic"</formula>
    </cfRule>
  </conditionalFormatting>
  <conditionalFormatting sqref="D162">
    <cfRule type="containsText" dxfId="564" priority="795" operator="containsText" text="Operational">
      <formula>NOT(ISERROR(SEARCH("Operational",D162)))</formula>
    </cfRule>
    <cfRule type="containsText" dxfId="563" priority="796" operator="containsText" text="Tactical">
      <formula>NOT(ISERROR(SEARCH("Tactical",D162)))</formula>
    </cfRule>
    <cfRule type="cellIs" dxfId="562" priority="797" operator="equal">
      <formula>"Strategic"</formula>
    </cfRule>
  </conditionalFormatting>
  <conditionalFormatting sqref="F172">
    <cfRule type="containsText" dxfId="561" priority="651" operator="containsText" text="Operational">
      <formula>NOT(ISERROR(SEARCH("Operational",F172)))</formula>
    </cfRule>
    <cfRule type="containsText" dxfId="560" priority="652" operator="containsText" text="Tactical">
      <formula>NOT(ISERROR(SEARCH("Tactical",F172)))</formula>
    </cfRule>
    <cfRule type="cellIs" dxfId="559" priority="653" operator="equal">
      <formula>"Strategic"</formula>
    </cfRule>
  </conditionalFormatting>
  <conditionalFormatting sqref="D163">
    <cfRule type="containsText" dxfId="558" priority="789" operator="containsText" text="Operational">
      <formula>NOT(ISERROR(SEARCH("Operational",D163)))</formula>
    </cfRule>
    <cfRule type="containsText" dxfId="557" priority="790" operator="containsText" text="Tactical">
      <formula>NOT(ISERROR(SEARCH("Tactical",D163)))</formula>
    </cfRule>
    <cfRule type="cellIs" dxfId="556" priority="791" operator="equal">
      <formula>"Strategic"</formula>
    </cfRule>
  </conditionalFormatting>
  <conditionalFormatting sqref="H167">
    <cfRule type="containsText" dxfId="555" priority="741" operator="containsText" text="Operational">
      <formula>NOT(ISERROR(SEARCH("Operational",H167)))</formula>
    </cfRule>
    <cfRule type="containsText" dxfId="554" priority="742" operator="containsText" text="Tactical">
      <formula>NOT(ISERROR(SEARCH("Tactical",H167)))</formula>
    </cfRule>
    <cfRule type="cellIs" dxfId="553" priority="743" operator="equal">
      <formula>"Strategic"</formula>
    </cfRule>
  </conditionalFormatting>
  <conditionalFormatting sqref="F163">
    <cfRule type="containsText" dxfId="552" priority="783" operator="containsText" text="Operational">
      <formula>NOT(ISERROR(SEARCH("Operational",F163)))</formula>
    </cfRule>
    <cfRule type="containsText" dxfId="551" priority="784" operator="containsText" text="Tactical">
      <formula>NOT(ISERROR(SEARCH("Tactical",F163)))</formula>
    </cfRule>
    <cfRule type="cellIs" dxfId="550" priority="785" operator="equal">
      <formula>"Strategic"</formula>
    </cfRule>
  </conditionalFormatting>
  <conditionalFormatting sqref="G173">
    <cfRule type="containsText" dxfId="549" priority="639" operator="containsText" text="Operational">
      <formula>NOT(ISERROR(SEARCH("Operational",G173)))</formula>
    </cfRule>
    <cfRule type="containsText" dxfId="548" priority="640" operator="containsText" text="Tactical">
      <formula>NOT(ISERROR(SEARCH("Tactical",G173)))</formula>
    </cfRule>
    <cfRule type="cellIs" dxfId="547" priority="641" operator="equal">
      <formula>"Strategic"</formula>
    </cfRule>
  </conditionalFormatting>
  <conditionalFormatting sqref="D164 F164">
    <cfRule type="containsText" dxfId="546" priority="777" operator="containsText" text="Operational">
      <formula>NOT(ISERROR(SEARCH("Operational",D164)))</formula>
    </cfRule>
    <cfRule type="containsText" dxfId="545" priority="778" operator="containsText" text="Tactical">
      <formula>NOT(ISERROR(SEARCH("Tactical",D164)))</formula>
    </cfRule>
    <cfRule type="cellIs" dxfId="544" priority="779" operator="equal">
      <formula>"Strategic"</formula>
    </cfRule>
  </conditionalFormatting>
  <conditionalFormatting sqref="F166">
    <cfRule type="containsText" dxfId="543" priority="750" operator="containsText" text="Operational">
      <formula>NOT(ISERROR(SEARCH("Operational",F166)))</formula>
    </cfRule>
    <cfRule type="containsText" dxfId="542" priority="751" operator="containsText" text="Tactical">
      <formula>NOT(ISERROR(SEARCH("Tactical",F166)))</formula>
    </cfRule>
    <cfRule type="cellIs" dxfId="541" priority="752" operator="equal">
      <formula>"Strategic"</formula>
    </cfRule>
  </conditionalFormatting>
  <conditionalFormatting sqref="F173">
    <cfRule type="containsText" dxfId="540" priority="630" operator="containsText" text="Operational">
      <formula>NOT(ISERROR(SEARCH("Operational",F173)))</formula>
    </cfRule>
    <cfRule type="containsText" dxfId="539" priority="631" operator="containsText" text="Tactical">
      <formula>NOT(ISERROR(SEARCH("Tactical",F173)))</formula>
    </cfRule>
    <cfRule type="cellIs" dxfId="538" priority="632" operator="equal">
      <formula>"Strategic"</formula>
    </cfRule>
  </conditionalFormatting>
  <conditionalFormatting sqref="G165">
    <cfRule type="containsText" dxfId="537" priority="768" operator="containsText" text="Operational">
      <formula>NOT(ISERROR(SEARCH("Operational",G165)))</formula>
    </cfRule>
    <cfRule type="containsText" dxfId="536" priority="769" operator="containsText" text="Tactical">
      <formula>NOT(ISERROR(SEARCH("Tactical",G165)))</formula>
    </cfRule>
    <cfRule type="cellIs" dxfId="535" priority="770" operator="equal">
      <formula>"Strategic"</formula>
    </cfRule>
  </conditionalFormatting>
  <conditionalFormatting sqref="F165">
    <cfRule type="containsText" dxfId="534" priority="765" operator="containsText" text="Operational">
      <formula>NOT(ISERROR(SEARCH("Operational",F165)))</formula>
    </cfRule>
    <cfRule type="containsText" dxfId="533" priority="766" operator="containsText" text="Tactical">
      <formula>NOT(ISERROR(SEARCH("Tactical",F165)))</formula>
    </cfRule>
    <cfRule type="cellIs" dxfId="532" priority="767" operator="equal">
      <formula>"Strategic"</formula>
    </cfRule>
  </conditionalFormatting>
  <conditionalFormatting sqref="D165">
    <cfRule type="containsText" dxfId="531" priority="762" operator="containsText" text="Operational">
      <formula>NOT(ISERROR(SEARCH("Operational",D165)))</formula>
    </cfRule>
    <cfRule type="containsText" dxfId="530" priority="763" operator="containsText" text="Tactical">
      <formula>NOT(ISERROR(SEARCH("Tactical",D165)))</formula>
    </cfRule>
    <cfRule type="cellIs" dxfId="529" priority="764" operator="equal">
      <formula>"Strategic"</formula>
    </cfRule>
  </conditionalFormatting>
  <conditionalFormatting sqref="H165">
    <cfRule type="containsText" dxfId="528" priority="759" operator="containsText" text="Operational">
      <formula>NOT(ISERROR(SEARCH("Operational",H165)))</formula>
    </cfRule>
    <cfRule type="containsText" dxfId="527" priority="760" operator="containsText" text="Tactical">
      <formula>NOT(ISERROR(SEARCH("Tactical",H165)))</formula>
    </cfRule>
    <cfRule type="cellIs" dxfId="526" priority="761" operator="equal">
      <formula>"Strategic"</formula>
    </cfRule>
  </conditionalFormatting>
  <conditionalFormatting sqref="H174">
    <cfRule type="containsText" dxfId="525" priority="615" operator="containsText" text="Operational">
      <formula>NOT(ISERROR(SEARCH("Operational",H174)))</formula>
    </cfRule>
    <cfRule type="containsText" dxfId="524" priority="616" operator="containsText" text="Tactical">
      <formula>NOT(ISERROR(SEARCH("Tactical",H174)))</formula>
    </cfRule>
    <cfRule type="cellIs" dxfId="523" priority="617" operator="equal">
      <formula>"Strategic"</formula>
    </cfRule>
  </conditionalFormatting>
  <conditionalFormatting sqref="H166">
    <cfRule type="containsText" dxfId="522" priority="747" operator="containsText" text="Operational">
      <formula>NOT(ISERROR(SEARCH("Operational",H166)))</formula>
    </cfRule>
    <cfRule type="containsText" dxfId="521" priority="748" operator="containsText" text="Tactical">
      <formula>NOT(ISERROR(SEARCH("Tactical",H166)))</formula>
    </cfRule>
    <cfRule type="cellIs" dxfId="520" priority="749" operator="equal">
      <formula>"Strategic"</formula>
    </cfRule>
  </conditionalFormatting>
  <conditionalFormatting sqref="H175">
    <cfRule type="containsText" dxfId="519" priority="603" operator="containsText" text="Operational">
      <formula>NOT(ISERROR(SEARCH("Operational",H175)))</formula>
    </cfRule>
    <cfRule type="containsText" dxfId="518" priority="604" operator="containsText" text="Tactical">
      <formula>NOT(ISERROR(SEARCH("Tactical",H175)))</formula>
    </cfRule>
    <cfRule type="cellIs" dxfId="517" priority="605" operator="equal">
      <formula>"Strategic"</formula>
    </cfRule>
  </conditionalFormatting>
  <conditionalFormatting sqref="G182">
    <cfRule type="containsText" dxfId="516" priority="525" operator="containsText" text="Operational">
      <formula>NOT(ISERROR(SEARCH("Operational",G182)))</formula>
    </cfRule>
    <cfRule type="containsText" dxfId="515" priority="526" operator="containsText" text="Tactical">
      <formula>NOT(ISERROR(SEARCH("Tactical",G182)))</formula>
    </cfRule>
    <cfRule type="cellIs" dxfId="514" priority="527" operator="equal">
      <formula>"Strategic"</formula>
    </cfRule>
  </conditionalFormatting>
  <conditionalFormatting sqref="D167">
    <cfRule type="containsText" dxfId="513" priority="735" operator="containsText" text="Operational">
      <formula>NOT(ISERROR(SEARCH("Operational",D167)))</formula>
    </cfRule>
    <cfRule type="containsText" dxfId="512" priority="736" operator="containsText" text="Tactical">
      <formula>NOT(ISERROR(SEARCH("Tactical",D167)))</formula>
    </cfRule>
    <cfRule type="cellIs" dxfId="511" priority="737" operator="equal">
      <formula>"Strategic"</formula>
    </cfRule>
  </conditionalFormatting>
  <conditionalFormatting sqref="H176">
    <cfRule type="containsText" dxfId="510" priority="591" operator="containsText" text="Operational">
      <formula>NOT(ISERROR(SEARCH("Operational",H176)))</formula>
    </cfRule>
    <cfRule type="containsText" dxfId="509" priority="592" operator="containsText" text="Tactical">
      <formula>NOT(ISERROR(SEARCH("Tactical",H176)))</formula>
    </cfRule>
    <cfRule type="cellIs" dxfId="508" priority="593" operator="equal">
      <formula>"Strategic"</formula>
    </cfRule>
  </conditionalFormatting>
  <conditionalFormatting sqref="D170">
    <cfRule type="containsText" dxfId="507" priority="699" operator="containsText" text="Operational">
      <formula>NOT(ISERROR(SEARCH("Operational",D170)))</formula>
    </cfRule>
    <cfRule type="containsText" dxfId="506" priority="700" operator="containsText" text="Tactical">
      <formula>NOT(ISERROR(SEARCH("Tactical",D170)))</formula>
    </cfRule>
    <cfRule type="cellIs" dxfId="505" priority="701" operator="equal">
      <formula>"Strategic"</formula>
    </cfRule>
  </conditionalFormatting>
  <conditionalFormatting sqref="H168">
    <cfRule type="containsText" dxfId="504" priority="720" operator="containsText" text="Operational">
      <formula>NOT(ISERROR(SEARCH("Operational",H168)))</formula>
    </cfRule>
    <cfRule type="containsText" dxfId="503" priority="721" operator="containsText" text="Tactical">
      <formula>NOT(ISERROR(SEARCH("Tactical",H168)))</formula>
    </cfRule>
    <cfRule type="cellIs" dxfId="502" priority="722" operator="equal">
      <formula>"Strategic"</formula>
    </cfRule>
  </conditionalFormatting>
  <conditionalFormatting sqref="D177">
    <cfRule type="containsText" dxfId="501" priority="576" operator="containsText" text="Operational">
      <formula>NOT(ISERROR(SEARCH("Operational",D177)))</formula>
    </cfRule>
    <cfRule type="containsText" dxfId="500" priority="577" operator="containsText" text="Tactical">
      <formula>NOT(ISERROR(SEARCH("Tactical",D177)))</formula>
    </cfRule>
    <cfRule type="cellIs" dxfId="499" priority="578" operator="equal">
      <formula>"Strategic"</formula>
    </cfRule>
  </conditionalFormatting>
  <conditionalFormatting sqref="F169">
    <cfRule type="containsText" dxfId="498" priority="711" operator="containsText" text="Operational">
      <formula>NOT(ISERROR(SEARCH("Operational",F169)))</formula>
    </cfRule>
    <cfRule type="containsText" dxfId="497" priority="712" operator="containsText" text="Tactical">
      <formula>NOT(ISERROR(SEARCH("Tactical",F169)))</formula>
    </cfRule>
    <cfRule type="cellIs" dxfId="496" priority="713" operator="equal">
      <formula>"Strategic"</formula>
    </cfRule>
  </conditionalFormatting>
  <conditionalFormatting sqref="F169">
    <cfRule type="containsText" dxfId="495" priority="714" operator="containsText" text="Operational">
      <formula>NOT(ISERROR(SEARCH("Operational",F169)))</formula>
    </cfRule>
    <cfRule type="containsText" dxfId="494" priority="715" operator="containsText" text="Tactical">
      <formula>NOT(ISERROR(SEARCH("Tactical",F169)))</formula>
    </cfRule>
    <cfRule type="cellIs" dxfId="493" priority="716" operator="equal">
      <formula>"Strategic"</formula>
    </cfRule>
  </conditionalFormatting>
  <conditionalFormatting sqref="F179">
    <cfRule type="containsText" dxfId="492" priority="561" operator="containsText" text="Operational">
      <formula>NOT(ISERROR(SEARCH("Operational",F179)))</formula>
    </cfRule>
    <cfRule type="containsText" dxfId="491" priority="562" operator="containsText" text="Tactical">
      <formula>NOT(ISERROR(SEARCH("Tactical",F179)))</formula>
    </cfRule>
    <cfRule type="cellIs" dxfId="490" priority="563" operator="equal">
      <formula>"Strategic"</formula>
    </cfRule>
  </conditionalFormatting>
  <conditionalFormatting sqref="H171">
    <cfRule type="containsText" dxfId="489" priority="669" operator="containsText" text="Operational">
      <formula>NOT(ISERROR(SEARCH("Operational",H171)))</formula>
    </cfRule>
    <cfRule type="containsText" dxfId="488" priority="670" operator="containsText" text="Tactical">
      <formula>NOT(ISERROR(SEARCH("Tactical",H171)))</formula>
    </cfRule>
    <cfRule type="cellIs" dxfId="487" priority="671" operator="equal">
      <formula>"Strategic"</formula>
    </cfRule>
  </conditionalFormatting>
  <conditionalFormatting sqref="F181">
    <cfRule type="containsText" dxfId="486" priority="543" operator="containsText" text="Operational">
      <formula>NOT(ISERROR(SEARCH("Operational",F181)))</formula>
    </cfRule>
    <cfRule type="containsText" dxfId="485" priority="544" operator="containsText" text="Tactical">
      <formula>NOT(ISERROR(SEARCH("Tactical",F181)))</formula>
    </cfRule>
    <cfRule type="cellIs" dxfId="484" priority="545" operator="equal">
      <formula>"Strategic"</formula>
    </cfRule>
  </conditionalFormatting>
  <conditionalFormatting sqref="F171">
    <cfRule type="containsText" dxfId="483" priority="675" operator="containsText" text="Operational">
      <formula>NOT(ISERROR(SEARCH("Operational",F171)))</formula>
    </cfRule>
    <cfRule type="containsText" dxfId="482" priority="676" operator="containsText" text="Tactical">
      <formula>NOT(ISERROR(SEARCH("Tactical",F171)))</formula>
    </cfRule>
    <cfRule type="cellIs" dxfId="481" priority="677" operator="equal">
      <formula>"Strategic"</formula>
    </cfRule>
  </conditionalFormatting>
  <conditionalFormatting sqref="G172">
    <cfRule type="containsText" dxfId="480" priority="663" operator="containsText" text="Operational">
      <formula>NOT(ISERROR(SEARCH("Operational",G172)))</formula>
    </cfRule>
    <cfRule type="containsText" dxfId="479" priority="664" operator="containsText" text="Tactical">
      <formula>NOT(ISERROR(SEARCH("Tactical",G172)))</formula>
    </cfRule>
    <cfRule type="cellIs" dxfId="478" priority="665" operator="equal">
      <formula>"Strategic"</formula>
    </cfRule>
  </conditionalFormatting>
  <conditionalFormatting sqref="H172">
    <cfRule type="containsText" dxfId="477" priority="660" operator="containsText" text="Operational">
      <formula>NOT(ISERROR(SEARCH("Operational",H172)))</formula>
    </cfRule>
    <cfRule type="containsText" dxfId="476" priority="661" operator="containsText" text="Tactical">
      <formula>NOT(ISERROR(SEARCH("Tactical",H172)))</formula>
    </cfRule>
    <cfRule type="cellIs" dxfId="475" priority="662" operator="equal">
      <formula>"Strategic"</formula>
    </cfRule>
  </conditionalFormatting>
  <conditionalFormatting sqref="D172">
    <cfRule type="containsText" dxfId="474" priority="657" operator="containsText" text="Operational">
      <formula>NOT(ISERROR(SEARCH("Operational",D172)))</formula>
    </cfRule>
    <cfRule type="containsText" dxfId="473" priority="658" operator="containsText" text="Tactical">
      <formula>NOT(ISERROR(SEARCH("Tactical",D172)))</formula>
    </cfRule>
    <cfRule type="cellIs" dxfId="472" priority="659" operator="equal">
      <formula>"Strategic"</formula>
    </cfRule>
  </conditionalFormatting>
  <conditionalFormatting sqref="H173">
    <cfRule type="containsText" dxfId="471" priority="636" operator="containsText" text="Operational">
      <formula>NOT(ISERROR(SEARCH("Operational",H173)))</formula>
    </cfRule>
    <cfRule type="containsText" dxfId="470" priority="637" operator="containsText" text="Tactical">
      <formula>NOT(ISERROR(SEARCH("Tactical",H173)))</formula>
    </cfRule>
    <cfRule type="cellIs" dxfId="469" priority="638" operator="equal">
      <formula>"Strategic"</formula>
    </cfRule>
  </conditionalFormatting>
  <conditionalFormatting sqref="D173">
    <cfRule type="containsText" dxfId="468" priority="633" operator="containsText" text="Operational">
      <formula>NOT(ISERROR(SEARCH("Operational",D173)))</formula>
    </cfRule>
    <cfRule type="containsText" dxfId="467" priority="634" operator="containsText" text="Tactical">
      <formula>NOT(ISERROR(SEARCH("Tactical",D173)))</formula>
    </cfRule>
    <cfRule type="cellIs" dxfId="466" priority="635" operator="equal">
      <formula>"Strategic"</formula>
    </cfRule>
  </conditionalFormatting>
  <conditionalFormatting sqref="D186">
    <cfRule type="containsText" dxfId="465" priority="486" operator="containsText" text="Operational">
      <formula>NOT(ISERROR(SEARCH("Operational",D186)))</formula>
    </cfRule>
    <cfRule type="containsText" dxfId="464" priority="487" operator="containsText" text="Tactical">
      <formula>NOT(ISERROR(SEARCH("Tactical",D186)))</formula>
    </cfRule>
    <cfRule type="cellIs" dxfId="463" priority="488" operator="equal">
      <formula>"Strategic"</formula>
    </cfRule>
  </conditionalFormatting>
  <conditionalFormatting sqref="D174">
    <cfRule type="containsText" dxfId="462" priority="624" operator="containsText" text="Operational">
      <formula>NOT(ISERROR(SEARCH("Operational",D174)))</formula>
    </cfRule>
    <cfRule type="containsText" dxfId="461" priority="625" operator="containsText" text="Tactical">
      <formula>NOT(ISERROR(SEARCH("Tactical",D174)))</formula>
    </cfRule>
    <cfRule type="cellIs" dxfId="460" priority="626" operator="equal">
      <formula>"Strategic"</formula>
    </cfRule>
  </conditionalFormatting>
  <conditionalFormatting sqref="F174">
    <cfRule type="containsText" dxfId="459" priority="621" operator="containsText" text="Operational">
      <formula>NOT(ISERROR(SEARCH("Operational",F174)))</formula>
    </cfRule>
    <cfRule type="containsText" dxfId="458" priority="622" operator="containsText" text="Tactical">
      <formula>NOT(ISERROR(SEARCH("Tactical",F174)))</formula>
    </cfRule>
    <cfRule type="cellIs" dxfId="457" priority="623" operator="equal">
      <formula>"Strategic"</formula>
    </cfRule>
  </conditionalFormatting>
  <conditionalFormatting sqref="G174">
    <cfRule type="containsText" dxfId="456" priority="618" operator="containsText" text="Operational">
      <formula>NOT(ISERROR(SEARCH("Operational",G174)))</formula>
    </cfRule>
    <cfRule type="containsText" dxfId="455" priority="619" operator="containsText" text="Tactical">
      <formula>NOT(ISERROR(SEARCH("Tactical",G174)))</formula>
    </cfRule>
    <cfRule type="cellIs" dxfId="454" priority="620" operator="equal">
      <formula>"Strategic"</formula>
    </cfRule>
  </conditionalFormatting>
  <conditionalFormatting sqref="F175">
    <cfRule type="containsText" dxfId="453" priority="609" operator="containsText" text="Operational">
      <formula>NOT(ISERROR(SEARCH("Operational",F175)))</formula>
    </cfRule>
    <cfRule type="containsText" dxfId="452" priority="610" operator="containsText" text="Tactical">
      <formula>NOT(ISERROR(SEARCH("Tactical",F175)))</formula>
    </cfRule>
    <cfRule type="cellIs" dxfId="451" priority="611" operator="equal">
      <formula>"Strategic"</formula>
    </cfRule>
  </conditionalFormatting>
  <conditionalFormatting sqref="G175">
    <cfRule type="containsText" dxfId="450" priority="606" operator="containsText" text="Operational">
      <formula>NOT(ISERROR(SEARCH("Operational",G175)))</formula>
    </cfRule>
    <cfRule type="containsText" dxfId="449" priority="607" operator="containsText" text="Tactical">
      <formula>NOT(ISERROR(SEARCH("Tactical",G175)))</formula>
    </cfRule>
    <cfRule type="cellIs" dxfId="448" priority="608" operator="equal">
      <formula>"Strategic"</formula>
    </cfRule>
  </conditionalFormatting>
  <conditionalFormatting sqref="D175">
    <cfRule type="containsText" dxfId="447" priority="600" operator="containsText" text="Operational">
      <formula>NOT(ISERROR(SEARCH("Operational",D175)))</formula>
    </cfRule>
    <cfRule type="containsText" dxfId="446" priority="601" operator="containsText" text="Tactical">
      <formula>NOT(ISERROR(SEARCH("Tactical",D175)))</formula>
    </cfRule>
    <cfRule type="cellIs" dxfId="445" priority="602" operator="equal">
      <formula>"Strategic"</formula>
    </cfRule>
  </conditionalFormatting>
  <conditionalFormatting sqref="H188">
    <cfRule type="containsText" dxfId="444" priority="456" operator="containsText" text="Operational">
      <formula>NOT(ISERROR(SEARCH("Operational",H188)))</formula>
    </cfRule>
    <cfRule type="containsText" dxfId="443" priority="457" operator="containsText" text="Tactical">
      <formula>NOT(ISERROR(SEARCH("Tactical",H188)))</formula>
    </cfRule>
    <cfRule type="cellIs" dxfId="442" priority="458" operator="equal">
      <formula>"Strategic"</formula>
    </cfRule>
  </conditionalFormatting>
  <conditionalFormatting sqref="D176">
    <cfRule type="containsText" dxfId="441" priority="594" operator="containsText" text="Operational">
      <formula>NOT(ISERROR(SEARCH("Operational",D176)))</formula>
    </cfRule>
    <cfRule type="containsText" dxfId="440" priority="595" operator="containsText" text="Tactical">
      <formula>NOT(ISERROR(SEARCH("Tactical",D176)))</formula>
    </cfRule>
    <cfRule type="cellIs" dxfId="439" priority="596" operator="equal">
      <formula>"Strategic"</formula>
    </cfRule>
  </conditionalFormatting>
  <conditionalFormatting sqref="G176">
    <cfRule type="containsText" dxfId="438" priority="588" operator="containsText" text="Operational">
      <formula>NOT(ISERROR(SEARCH("Operational",G176)))</formula>
    </cfRule>
    <cfRule type="containsText" dxfId="437" priority="589" operator="containsText" text="Tactical">
      <formula>NOT(ISERROR(SEARCH("Tactical",G176)))</formula>
    </cfRule>
    <cfRule type="cellIs" dxfId="436" priority="590" operator="equal">
      <formula>"Strategic"</formula>
    </cfRule>
  </conditionalFormatting>
  <conditionalFormatting sqref="E188">
    <cfRule type="containsText" dxfId="435" priority="444" operator="containsText" text="Operational">
      <formula>NOT(ISERROR(SEARCH("Operational",E188)))</formula>
    </cfRule>
    <cfRule type="containsText" dxfId="434" priority="445" operator="containsText" text="Tactical">
      <formula>NOT(ISERROR(SEARCH("Tactical",E188)))</formula>
    </cfRule>
    <cfRule type="cellIs" dxfId="433" priority="446" operator="equal">
      <formula>"Strategic"</formula>
    </cfRule>
  </conditionalFormatting>
  <conditionalFormatting sqref="H177">
    <cfRule type="containsText" dxfId="432" priority="582" operator="containsText" text="Operational">
      <formula>NOT(ISERROR(SEARCH("Operational",H177)))</formula>
    </cfRule>
    <cfRule type="containsText" dxfId="431" priority="583" operator="containsText" text="Tactical">
      <formula>NOT(ISERROR(SEARCH("Tactical",H177)))</formula>
    </cfRule>
    <cfRule type="cellIs" dxfId="430" priority="584" operator="equal">
      <formula>"Strategic"</formula>
    </cfRule>
  </conditionalFormatting>
  <conditionalFormatting sqref="G177">
    <cfRule type="containsText" dxfId="429" priority="579" operator="containsText" text="Operational">
      <formula>NOT(ISERROR(SEARCH("Operational",G177)))</formula>
    </cfRule>
    <cfRule type="containsText" dxfId="428" priority="580" operator="containsText" text="Tactical">
      <formula>NOT(ISERROR(SEARCH("Tactical",G177)))</formula>
    </cfRule>
    <cfRule type="cellIs" dxfId="427" priority="581" operator="equal">
      <formula>"Strategic"</formula>
    </cfRule>
  </conditionalFormatting>
  <conditionalFormatting sqref="F177">
    <cfRule type="containsText" dxfId="426" priority="573" operator="containsText" text="Operational">
      <formula>NOT(ISERROR(SEARCH("Operational",F177)))</formula>
    </cfRule>
    <cfRule type="containsText" dxfId="425" priority="574" operator="containsText" text="Tactical">
      <formula>NOT(ISERROR(SEARCH("Tactical",F177)))</formula>
    </cfRule>
    <cfRule type="cellIs" dxfId="424" priority="575" operator="equal">
      <formula>"Strategic"</formula>
    </cfRule>
  </conditionalFormatting>
  <conditionalFormatting sqref="G179">
    <cfRule type="containsText" dxfId="423" priority="570" operator="containsText" text="Operational">
      <formula>NOT(ISERROR(SEARCH("Operational",G179)))</formula>
    </cfRule>
    <cfRule type="containsText" dxfId="422" priority="571" operator="containsText" text="Tactical">
      <formula>NOT(ISERROR(SEARCH("Tactical",G179)))</formula>
    </cfRule>
    <cfRule type="cellIs" dxfId="421" priority="572" operator="equal">
      <formula>"Strategic"</formula>
    </cfRule>
  </conditionalFormatting>
  <conditionalFormatting sqref="H179">
    <cfRule type="containsText" dxfId="420" priority="567" operator="containsText" text="Operational">
      <formula>NOT(ISERROR(SEARCH("Operational",H179)))</formula>
    </cfRule>
    <cfRule type="containsText" dxfId="419" priority="568" operator="containsText" text="Tactical">
      <formula>NOT(ISERROR(SEARCH("Tactical",H179)))</formula>
    </cfRule>
    <cfRule type="cellIs" dxfId="418" priority="569" operator="equal">
      <formula>"Strategic"</formula>
    </cfRule>
  </conditionalFormatting>
  <conditionalFormatting sqref="D190">
    <cfRule type="containsText" dxfId="417" priority="417" operator="containsText" text="Operational">
      <formula>NOT(ISERROR(SEARCH("Operational",D190)))</formula>
    </cfRule>
    <cfRule type="containsText" dxfId="416" priority="418" operator="containsText" text="Tactical">
      <formula>NOT(ISERROR(SEARCH("Tactical",D190)))</formula>
    </cfRule>
    <cfRule type="cellIs" dxfId="415" priority="419" operator="equal">
      <formula>"Strategic"</formula>
    </cfRule>
  </conditionalFormatting>
  <conditionalFormatting sqref="H181">
    <cfRule type="containsText" dxfId="414" priority="537" operator="containsText" text="Operational">
      <formula>NOT(ISERROR(SEARCH("Operational",H181)))</formula>
    </cfRule>
    <cfRule type="containsText" dxfId="413" priority="538" operator="containsText" text="Tactical">
      <formula>NOT(ISERROR(SEARCH("Tactical",H181)))</formula>
    </cfRule>
    <cfRule type="cellIs" dxfId="412" priority="539" operator="equal">
      <formula>"Strategic"</formula>
    </cfRule>
  </conditionalFormatting>
  <conditionalFormatting sqref="F180">
    <cfRule type="containsText" dxfId="411" priority="552" operator="containsText" text="Operational">
      <formula>NOT(ISERROR(SEARCH("Operational",F180)))</formula>
    </cfRule>
    <cfRule type="containsText" dxfId="410" priority="553" operator="containsText" text="Tactical">
      <formula>NOT(ISERROR(SEARCH("Tactical",F180)))</formula>
    </cfRule>
    <cfRule type="cellIs" dxfId="409" priority="554" operator="equal">
      <formula>"Strategic"</formula>
    </cfRule>
  </conditionalFormatting>
  <conditionalFormatting sqref="H190">
    <cfRule type="containsText" dxfId="408" priority="408" operator="containsText" text="Operational">
      <formula>NOT(ISERROR(SEARCH("Operational",H190)))</formula>
    </cfRule>
    <cfRule type="containsText" dxfId="407" priority="409" operator="containsText" text="Tactical">
      <formula>NOT(ISERROR(SEARCH("Tactical",H190)))</formula>
    </cfRule>
    <cfRule type="cellIs" dxfId="406" priority="410" operator="equal">
      <formula>"Strategic"</formula>
    </cfRule>
  </conditionalFormatting>
  <conditionalFormatting sqref="D181">
    <cfRule type="containsText" dxfId="405" priority="546" operator="containsText" text="Operational">
      <formula>NOT(ISERROR(SEARCH("Operational",D181)))</formula>
    </cfRule>
    <cfRule type="containsText" dxfId="404" priority="547" operator="containsText" text="Tactical">
      <formula>NOT(ISERROR(SEARCH("Tactical",D181)))</formula>
    </cfRule>
    <cfRule type="cellIs" dxfId="403" priority="548" operator="equal">
      <formula>"Strategic"</formula>
    </cfRule>
  </conditionalFormatting>
  <conditionalFormatting sqref="F181">
    <cfRule type="containsText" dxfId="402" priority="540" operator="containsText" text="Operational">
      <formula>NOT(ISERROR(SEARCH("Operational",F181)))</formula>
    </cfRule>
    <cfRule type="containsText" dxfId="401" priority="541" operator="containsText" text="Tactical">
      <formula>NOT(ISERROR(SEARCH("Tactical",F181)))</formula>
    </cfRule>
    <cfRule type="cellIs" dxfId="400" priority="542" operator="equal">
      <formula>"Strategic"</formula>
    </cfRule>
  </conditionalFormatting>
  <conditionalFormatting sqref="F185">
    <cfRule type="containsText" dxfId="399" priority="501" operator="containsText" text="Operational">
      <formula>NOT(ISERROR(SEARCH("Operational",F185)))</formula>
    </cfRule>
    <cfRule type="containsText" dxfId="398" priority="502" operator="containsText" text="Tactical">
      <formula>NOT(ISERROR(SEARCH("Tactical",F185)))</formula>
    </cfRule>
    <cfRule type="cellIs" dxfId="397" priority="503" operator="equal">
      <formula>"Strategic"</formula>
    </cfRule>
  </conditionalFormatting>
  <conditionalFormatting sqref="D185">
    <cfRule type="containsText" dxfId="396" priority="504" operator="containsText" text="Operational">
      <formula>NOT(ISERROR(SEARCH("Operational",D185)))</formula>
    </cfRule>
    <cfRule type="containsText" dxfId="395" priority="505" operator="containsText" text="Tactical">
      <formula>NOT(ISERROR(SEARCH("Tactical",D185)))</formula>
    </cfRule>
    <cfRule type="cellIs" dxfId="394" priority="506" operator="equal">
      <formula>"Strategic"</formula>
    </cfRule>
  </conditionalFormatting>
  <conditionalFormatting sqref="H182">
    <cfRule type="containsText" dxfId="393" priority="522" operator="containsText" text="Operational">
      <formula>NOT(ISERROR(SEARCH("Operational",H182)))</formula>
    </cfRule>
    <cfRule type="containsText" dxfId="392" priority="523" operator="containsText" text="Tactical">
      <formula>NOT(ISERROR(SEARCH("Tactical",H182)))</formula>
    </cfRule>
    <cfRule type="cellIs" dxfId="391" priority="524" operator="equal">
      <formula>"Strategic"</formula>
    </cfRule>
  </conditionalFormatting>
  <conditionalFormatting sqref="H191">
    <cfRule type="containsText" dxfId="390" priority="378" operator="containsText" text="Operational">
      <formula>NOT(ISERROR(SEARCH("Operational",H191)))</formula>
    </cfRule>
    <cfRule type="containsText" dxfId="389" priority="379" operator="containsText" text="Tactical">
      <formula>NOT(ISERROR(SEARCH("Tactical",H191)))</formula>
    </cfRule>
    <cfRule type="cellIs" dxfId="388" priority="380" operator="equal">
      <formula>"Strategic"</formula>
    </cfRule>
  </conditionalFormatting>
  <conditionalFormatting sqref="F184">
    <cfRule type="containsText" dxfId="387" priority="516" operator="containsText" text="Operational">
      <formula>NOT(ISERROR(SEARCH("Operational",F184)))</formula>
    </cfRule>
    <cfRule type="containsText" dxfId="386" priority="517" operator="containsText" text="Tactical">
      <formula>NOT(ISERROR(SEARCH("Tactical",F184)))</formula>
    </cfRule>
    <cfRule type="cellIs" dxfId="385" priority="518" operator="equal">
      <formula>"Strategic"</formula>
    </cfRule>
  </conditionalFormatting>
  <conditionalFormatting sqref="G184">
    <cfRule type="containsText" dxfId="384" priority="513" operator="containsText" text="Operational">
      <formula>NOT(ISERROR(SEARCH("Operational",G184)))</formula>
    </cfRule>
    <cfRule type="containsText" dxfId="383" priority="514" operator="containsText" text="Tactical">
      <formula>NOT(ISERROR(SEARCH("Tactical",G184)))</formula>
    </cfRule>
    <cfRule type="cellIs" dxfId="382" priority="515" operator="equal">
      <formula>"Strategic"</formula>
    </cfRule>
  </conditionalFormatting>
  <conditionalFormatting sqref="H184">
    <cfRule type="containsText" dxfId="381" priority="510" operator="containsText" text="Operational">
      <formula>NOT(ISERROR(SEARCH("Operational",H184)))</formula>
    </cfRule>
    <cfRule type="containsText" dxfId="380" priority="511" operator="containsText" text="Tactical">
      <formula>NOT(ISERROR(SEARCH("Tactical",H184)))</formula>
    </cfRule>
    <cfRule type="cellIs" dxfId="379" priority="512" operator="equal">
      <formula>"Strategic"</formula>
    </cfRule>
  </conditionalFormatting>
  <conditionalFormatting sqref="H192">
    <cfRule type="containsText" dxfId="378" priority="357" operator="containsText" text="Operational">
      <formula>NOT(ISERROR(SEARCH("Operational",H192)))</formula>
    </cfRule>
    <cfRule type="containsText" dxfId="377" priority="358" operator="containsText" text="Tactical">
      <formula>NOT(ISERROR(SEARCH("Tactical",H192)))</formula>
    </cfRule>
    <cfRule type="cellIs" dxfId="376" priority="359" operator="equal">
      <formula>"Strategic"</formula>
    </cfRule>
  </conditionalFormatting>
  <conditionalFormatting sqref="F185">
    <cfRule type="containsText" dxfId="375" priority="498" operator="containsText" text="Operational">
      <formula>NOT(ISERROR(SEARCH("Operational",F185)))</formula>
    </cfRule>
    <cfRule type="containsText" dxfId="374" priority="499" operator="containsText" text="Tactical">
      <formula>NOT(ISERROR(SEARCH("Tactical",F185)))</formula>
    </cfRule>
    <cfRule type="cellIs" dxfId="373" priority="500" operator="equal">
      <formula>"Strategic"</formula>
    </cfRule>
  </conditionalFormatting>
  <conditionalFormatting sqref="F186">
    <cfRule type="containsText" dxfId="372" priority="480" operator="containsText" text="Operational">
      <formula>NOT(ISERROR(SEARCH("Operational",F186)))</formula>
    </cfRule>
    <cfRule type="containsText" dxfId="371" priority="481" operator="containsText" text="Tactical">
      <formula>NOT(ISERROR(SEARCH("Tactical",F186)))</formula>
    </cfRule>
    <cfRule type="cellIs" dxfId="370" priority="482" operator="equal">
      <formula>"Strategic"</formula>
    </cfRule>
  </conditionalFormatting>
  <conditionalFormatting sqref="F192">
    <cfRule type="containsText" dxfId="369" priority="348" operator="containsText" text="Operational">
      <formula>NOT(ISERROR(SEARCH("Operational",F192)))</formula>
    </cfRule>
    <cfRule type="containsText" dxfId="368" priority="349" operator="containsText" text="Tactical">
      <formula>NOT(ISERROR(SEARCH("Tactical",F192)))</formula>
    </cfRule>
    <cfRule type="cellIs" dxfId="367" priority="350" operator="equal">
      <formula>"Strategic"</formula>
    </cfRule>
  </conditionalFormatting>
  <conditionalFormatting sqref="H185">
    <cfRule type="containsText" dxfId="366" priority="492" operator="containsText" text="Operational">
      <formula>NOT(ISERROR(SEARCH("Operational",H185)))</formula>
    </cfRule>
    <cfRule type="containsText" dxfId="365" priority="493" operator="containsText" text="Tactical">
      <formula>NOT(ISERROR(SEARCH("Tactical",H185)))</formula>
    </cfRule>
    <cfRule type="cellIs" dxfId="364" priority="494" operator="equal">
      <formula>"Strategic"</formula>
    </cfRule>
  </conditionalFormatting>
  <conditionalFormatting sqref="F186">
    <cfRule type="containsText" dxfId="363" priority="483" operator="containsText" text="Operational">
      <formula>NOT(ISERROR(SEARCH("Operational",F186)))</formula>
    </cfRule>
    <cfRule type="containsText" dxfId="362" priority="484" operator="containsText" text="Tactical">
      <formula>NOT(ISERROR(SEARCH("Tactical",F186)))</formula>
    </cfRule>
    <cfRule type="cellIs" dxfId="361" priority="485" operator="equal">
      <formula>"Strategic"</formula>
    </cfRule>
  </conditionalFormatting>
  <conditionalFormatting sqref="G186">
    <cfRule type="containsText" dxfId="360" priority="477" operator="containsText" text="Operational">
      <formula>NOT(ISERROR(SEARCH("Operational",G186)))</formula>
    </cfRule>
    <cfRule type="containsText" dxfId="359" priority="478" operator="containsText" text="Tactical">
      <formula>NOT(ISERROR(SEARCH("Tactical",G186)))</formula>
    </cfRule>
    <cfRule type="cellIs" dxfId="358" priority="479" operator="equal">
      <formula>"Strategic"</formula>
    </cfRule>
  </conditionalFormatting>
  <conditionalFormatting sqref="H186">
    <cfRule type="containsText" dxfId="357" priority="474" operator="containsText" text="Operational">
      <formula>NOT(ISERROR(SEARCH("Operational",H186)))</formula>
    </cfRule>
    <cfRule type="containsText" dxfId="356" priority="475" operator="containsText" text="Tactical">
      <formula>NOT(ISERROR(SEARCH("Tactical",H186)))</formula>
    </cfRule>
    <cfRule type="cellIs" dxfId="355" priority="476" operator="equal">
      <formula>"Strategic"</formula>
    </cfRule>
  </conditionalFormatting>
  <conditionalFormatting sqref="G193">
    <cfRule type="containsText" dxfId="354" priority="330" operator="containsText" text="Operational">
      <formula>NOT(ISERROR(SEARCH("Operational",G193)))</formula>
    </cfRule>
    <cfRule type="containsText" dxfId="353" priority="331" operator="containsText" text="Tactical">
      <formula>NOT(ISERROR(SEARCH("Tactical",G193)))</formula>
    </cfRule>
    <cfRule type="cellIs" dxfId="352" priority="332" operator="equal">
      <formula>"Strategic"</formula>
    </cfRule>
  </conditionalFormatting>
  <conditionalFormatting sqref="D187">
    <cfRule type="containsText" dxfId="351" priority="468" operator="containsText" text="Operational">
      <formula>NOT(ISERROR(SEARCH("Operational",D187)))</formula>
    </cfRule>
    <cfRule type="containsText" dxfId="350" priority="469" operator="containsText" text="Tactical">
      <formula>NOT(ISERROR(SEARCH("Tactical",D187)))</formula>
    </cfRule>
    <cfRule type="cellIs" dxfId="349" priority="470" operator="equal">
      <formula>"Strategic"</formula>
    </cfRule>
  </conditionalFormatting>
  <conditionalFormatting sqref="F187">
    <cfRule type="containsText" dxfId="348" priority="465" operator="containsText" text="Operational">
      <formula>NOT(ISERROR(SEARCH("Operational",F187)))</formula>
    </cfRule>
    <cfRule type="containsText" dxfId="347" priority="466" operator="containsText" text="Tactical">
      <formula>NOT(ISERROR(SEARCH("Tactical",F187)))</formula>
    </cfRule>
    <cfRule type="cellIs" dxfId="346" priority="467" operator="equal">
      <formula>"Strategic"</formula>
    </cfRule>
  </conditionalFormatting>
  <conditionalFormatting sqref="H187">
    <cfRule type="containsText" dxfId="345" priority="462" operator="containsText" text="Operational">
      <formula>NOT(ISERROR(SEARCH("Operational",H187)))</formula>
    </cfRule>
    <cfRule type="containsText" dxfId="344" priority="463" operator="containsText" text="Tactical">
      <formula>NOT(ISERROR(SEARCH("Tactical",H187)))</formula>
    </cfRule>
    <cfRule type="cellIs" dxfId="343" priority="464" operator="equal">
      <formula>"Strategic"</formula>
    </cfRule>
  </conditionalFormatting>
  <conditionalFormatting sqref="H195">
    <cfRule type="containsText" dxfId="342" priority="306" operator="containsText" text="Operational">
      <formula>NOT(ISERROR(SEARCH("Operational",H195)))</formula>
    </cfRule>
    <cfRule type="containsText" dxfId="341" priority="307" operator="containsText" text="Tactical">
      <formula>NOT(ISERROR(SEARCH("Tactical",H195)))</formula>
    </cfRule>
    <cfRule type="cellIs" dxfId="340" priority="308" operator="equal">
      <formula>"Strategic"</formula>
    </cfRule>
  </conditionalFormatting>
  <conditionalFormatting sqref="F188">
    <cfRule type="containsText" dxfId="339" priority="450" operator="containsText" text="Operational">
      <formula>NOT(ISERROR(SEARCH("Operational",F188)))</formula>
    </cfRule>
    <cfRule type="containsText" dxfId="338" priority="451" operator="containsText" text="Tactical">
      <formula>NOT(ISERROR(SEARCH("Tactical",F188)))</formula>
    </cfRule>
    <cfRule type="cellIs" dxfId="337" priority="452" operator="equal">
      <formula>"Strategic"</formula>
    </cfRule>
  </conditionalFormatting>
  <conditionalFormatting sqref="D188">
    <cfRule type="containsText" dxfId="336" priority="453" operator="containsText" text="Operational">
      <formula>NOT(ISERROR(SEARCH("Operational",D188)))</formula>
    </cfRule>
    <cfRule type="containsText" dxfId="335" priority="454" operator="containsText" text="Tactical">
      <formula>NOT(ISERROR(SEARCH("Tactical",D188)))</formula>
    </cfRule>
    <cfRule type="cellIs" dxfId="334" priority="455" operator="equal">
      <formula>"Strategic"</formula>
    </cfRule>
  </conditionalFormatting>
  <conditionalFormatting sqref="E188">
    <cfRule type="containsText" dxfId="333" priority="447" operator="containsText" text="Operational">
      <formula>NOT(ISERROR(SEARCH("Operational",E188)))</formula>
    </cfRule>
    <cfRule type="containsText" dxfId="332" priority="448" operator="containsText" text="Tactical">
      <formula>NOT(ISERROR(SEARCH("Tactical",E188)))</formula>
    </cfRule>
    <cfRule type="cellIs" dxfId="331" priority="449" operator="equal">
      <formula>"Strategic"</formula>
    </cfRule>
  </conditionalFormatting>
  <conditionalFormatting sqref="G188">
    <cfRule type="containsText" dxfId="330" priority="441" operator="containsText" text="Operational">
      <formula>NOT(ISERROR(SEARCH("Operational",G188)))</formula>
    </cfRule>
    <cfRule type="containsText" dxfId="329" priority="442" operator="containsText" text="Tactical">
      <formula>NOT(ISERROR(SEARCH("Tactical",G188)))</formula>
    </cfRule>
    <cfRule type="cellIs" dxfId="328" priority="443" operator="equal">
      <formula>"Strategic"</formula>
    </cfRule>
  </conditionalFormatting>
  <conditionalFormatting sqref="D197">
    <cfRule type="containsText" dxfId="327" priority="282" operator="containsText" text="Operational">
      <formula>NOT(ISERROR(SEARCH("Operational",D197)))</formula>
    </cfRule>
    <cfRule type="containsText" dxfId="326" priority="283" operator="containsText" text="Tactical">
      <formula>NOT(ISERROR(SEARCH("Tactical",D197)))</formula>
    </cfRule>
    <cfRule type="cellIs" dxfId="325" priority="284" operator="equal">
      <formula>"Strategic"</formula>
    </cfRule>
  </conditionalFormatting>
  <conditionalFormatting sqref="F189">
    <cfRule type="containsText" dxfId="324" priority="432" operator="containsText" text="Operational">
      <formula>NOT(ISERROR(SEARCH("Operational",F189)))</formula>
    </cfRule>
    <cfRule type="containsText" dxfId="323" priority="433" operator="containsText" text="Tactical">
      <formula>NOT(ISERROR(SEARCH("Tactical",F189)))</formula>
    </cfRule>
    <cfRule type="cellIs" dxfId="322" priority="434" operator="equal">
      <formula>"Strategic"</formula>
    </cfRule>
  </conditionalFormatting>
  <conditionalFormatting sqref="H189">
    <cfRule type="containsText" dxfId="321" priority="429" operator="containsText" text="Operational">
      <formula>NOT(ISERROR(SEARCH("Operational",H189)))</formula>
    </cfRule>
    <cfRule type="containsText" dxfId="320" priority="430" operator="containsText" text="Tactical">
      <formula>NOT(ISERROR(SEARCH("Tactical",H189)))</formula>
    </cfRule>
    <cfRule type="cellIs" dxfId="319" priority="431" operator="equal">
      <formula>"Strategic"</formula>
    </cfRule>
  </conditionalFormatting>
  <conditionalFormatting sqref="H189">
    <cfRule type="containsText" dxfId="318" priority="426" operator="containsText" text="Operational">
      <formula>NOT(ISERROR(SEARCH("Operational",H189)))</formula>
    </cfRule>
    <cfRule type="containsText" dxfId="317" priority="427" operator="containsText" text="Tactical">
      <formula>NOT(ISERROR(SEARCH("Tactical",H189)))</formula>
    </cfRule>
    <cfRule type="cellIs" dxfId="316" priority="428" operator="equal">
      <formula>"Strategic"</formula>
    </cfRule>
  </conditionalFormatting>
  <conditionalFormatting sqref="G189">
    <cfRule type="containsText" dxfId="315" priority="423" operator="containsText" text="Operational">
      <formula>NOT(ISERROR(SEARCH("Operational",G189)))</formula>
    </cfRule>
    <cfRule type="containsText" dxfId="314" priority="424" operator="containsText" text="Tactical">
      <formula>NOT(ISERROR(SEARCH("Tactical",G189)))</formula>
    </cfRule>
    <cfRule type="cellIs" dxfId="313" priority="425" operator="equal">
      <formula>"Strategic"</formula>
    </cfRule>
  </conditionalFormatting>
  <conditionalFormatting sqref="F197">
    <cfRule type="containsText" dxfId="312" priority="279" operator="containsText" text="Operational">
      <formula>NOT(ISERROR(SEARCH("Operational",F197)))</formula>
    </cfRule>
    <cfRule type="containsText" dxfId="311" priority="280" operator="containsText" text="Tactical">
      <formula>NOT(ISERROR(SEARCH("Tactical",F197)))</formula>
    </cfRule>
    <cfRule type="cellIs" dxfId="310" priority="281" operator="equal">
      <formula>"Strategic"</formula>
    </cfRule>
  </conditionalFormatting>
  <conditionalFormatting sqref="G190">
    <cfRule type="containsText" dxfId="309" priority="411" operator="containsText" text="Operational">
      <formula>NOT(ISERROR(SEARCH("Operational",G190)))</formula>
    </cfRule>
    <cfRule type="containsText" dxfId="308" priority="412" operator="containsText" text="Tactical">
      <formula>NOT(ISERROR(SEARCH("Tactical",G190)))</formula>
    </cfRule>
    <cfRule type="cellIs" dxfId="307" priority="413" operator="equal">
      <formula>"Strategic"</formula>
    </cfRule>
  </conditionalFormatting>
  <conditionalFormatting sqref="H190">
    <cfRule type="containsText" dxfId="306" priority="405" operator="containsText" text="Operational">
      <formula>NOT(ISERROR(SEARCH("Operational",H190)))</formula>
    </cfRule>
    <cfRule type="containsText" dxfId="305" priority="406" operator="containsText" text="Tactical">
      <formula>NOT(ISERROR(SEARCH("Tactical",H190)))</formula>
    </cfRule>
    <cfRule type="cellIs" dxfId="304" priority="407" operator="equal">
      <formula>"Strategic"</formula>
    </cfRule>
  </conditionalFormatting>
  <conditionalFormatting sqref="F151">
    <cfRule type="containsText" dxfId="303" priority="261" operator="containsText" text="Operational">
      <formula>NOT(ISERROR(SEARCH("Operational",F151)))</formula>
    </cfRule>
    <cfRule type="containsText" dxfId="302" priority="262" operator="containsText" text="Tactical">
      <formula>NOT(ISERROR(SEARCH("Tactical",F151)))</formula>
    </cfRule>
    <cfRule type="cellIs" dxfId="301" priority="263" operator="equal">
      <formula>"Strategic"</formula>
    </cfRule>
  </conditionalFormatting>
  <conditionalFormatting sqref="G191">
    <cfRule type="containsText" dxfId="300" priority="363" operator="containsText" text="Operational">
      <formula>NOT(ISERROR(SEARCH("Operational",G191)))</formula>
    </cfRule>
    <cfRule type="containsText" dxfId="299" priority="364" operator="containsText" text="Tactical">
      <formula>NOT(ISERROR(SEARCH("Tactical",G191)))</formula>
    </cfRule>
    <cfRule type="cellIs" dxfId="298" priority="365" operator="equal">
      <formula>"Strategic"</formula>
    </cfRule>
  </conditionalFormatting>
  <conditionalFormatting sqref="D191">
    <cfRule type="containsText" dxfId="297" priority="375" operator="containsText" text="Operational">
      <formula>NOT(ISERROR(SEARCH("Operational",D191)))</formula>
    </cfRule>
    <cfRule type="containsText" dxfId="296" priority="376" operator="containsText" text="Tactical">
      <formula>NOT(ISERROR(SEARCH("Tactical",D191)))</formula>
    </cfRule>
    <cfRule type="cellIs" dxfId="295" priority="377" operator="equal">
      <formula>"Strategic"</formula>
    </cfRule>
  </conditionalFormatting>
  <conditionalFormatting sqref="H192">
    <cfRule type="containsText" dxfId="294" priority="354" operator="containsText" text="Operational">
      <formula>NOT(ISERROR(SEARCH("Operational",H192)))</formula>
    </cfRule>
    <cfRule type="containsText" dxfId="293" priority="355" operator="containsText" text="Tactical">
      <formula>NOT(ISERROR(SEARCH("Tactical",H192)))</formula>
    </cfRule>
    <cfRule type="cellIs" dxfId="292" priority="356" operator="equal">
      <formula>"Strategic"</formula>
    </cfRule>
  </conditionalFormatting>
  <conditionalFormatting sqref="G192">
    <cfRule type="containsText" dxfId="291" priority="351" operator="containsText" text="Operational">
      <formula>NOT(ISERROR(SEARCH("Operational",G192)))</formula>
    </cfRule>
    <cfRule type="containsText" dxfId="290" priority="352" operator="containsText" text="Tactical">
      <formula>NOT(ISERROR(SEARCH("Tactical",G192)))</formula>
    </cfRule>
    <cfRule type="cellIs" dxfId="289" priority="353" operator="equal">
      <formula>"Strategic"</formula>
    </cfRule>
  </conditionalFormatting>
  <conditionalFormatting sqref="F192">
    <cfRule type="containsText" dxfId="288" priority="345" operator="containsText" text="Operational">
      <formula>NOT(ISERROR(SEARCH("Operational",F192)))</formula>
    </cfRule>
    <cfRule type="containsText" dxfId="287" priority="346" operator="containsText" text="Tactical">
      <formula>NOT(ISERROR(SEARCH("Tactical",F192)))</formula>
    </cfRule>
    <cfRule type="cellIs" dxfId="286" priority="347" operator="equal">
      <formula>"Strategic"</formula>
    </cfRule>
  </conditionalFormatting>
  <conditionalFormatting sqref="D193">
    <cfRule type="containsText" dxfId="285" priority="339" operator="containsText" text="Operational">
      <formula>NOT(ISERROR(SEARCH("Operational",D193)))</formula>
    </cfRule>
    <cfRule type="containsText" dxfId="284" priority="340" operator="containsText" text="Tactical">
      <formula>NOT(ISERROR(SEARCH("Tactical",D193)))</formula>
    </cfRule>
    <cfRule type="cellIs" dxfId="283" priority="341" operator="equal">
      <formula>"Strategic"</formula>
    </cfRule>
  </conditionalFormatting>
  <conditionalFormatting sqref="F193">
    <cfRule type="containsText" dxfId="282" priority="336" operator="containsText" text="Operational">
      <formula>NOT(ISERROR(SEARCH("Operational",F193)))</formula>
    </cfRule>
    <cfRule type="containsText" dxfId="281" priority="337" operator="containsText" text="Tactical">
      <formula>NOT(ISERROR(SEARCH("Tactical",F193)))</formula>
    </cfRule>
    <cfRule type="cellIs" dxfId="280" priority="338" operator="equal">
      <formula>"Strategic"</formula>
    </cfRule>
  </conditionalFormatting>
  <conditionalFormatting sqref="F193">
    <cfRule type="containsText" dxfId="279" priority="333" operator="containsText" text="Operational">
      <formula>NOT(ISERROR(SEARCH("Operational",F193)))</formula>
    </cfRule>
    <cfRule type="containsText" dxfId="278" priority="334" operator="containsText" text="Tactical">
      <formula>NOT(ISERROR(SEARCH("Tactical",F193)))</formula>
    </cfRule>
    <cfRule type="cellIs" dxfId="277" priority="335" operator="equal">
      <formula>"Strategic"</formula>
    </cfRule>
  </conditionalFormatting>
  <conditionalFormatting sqref="F195">
    <cfRule type="containsText" dxfId="276" priority="309" operator="containsText" text="Operational">
      <formula>NOT(ISERROR(SEARCH("Operational",F195)))</formula>
    </cfRule>
    <cfRule type="containsText" dxfId="275" priority="310" operator="containsText" text="Tactical">
      <formula>NOT(ISERROR(SEARCH("Tactical",F195)))</formula>
    </cfRule>
    <cfRule type="cellIs" dxfId="274" priority="311" operator="equal">
      <formula>"Strategic"</formula>
    </cfRule>
  </conditionalFormatting>
  <conditionalFormatting sqref="D194">
    <cfRule type="containsText" dxfId="273" priority="321" operator="containsText" text="Operational">
      <formula>NOT(ISERROR(SEARCH("Operational",D194)))</formula>
    </cfRule>
    <cfRule type="containsText" dxfId="272" priority="322" operator="containsText" text="Tactical">
      <formula>NOT(ISERROR(SEARCH("Tactical",D194)))</formula>
    </cfRule>
    <cfRule type="cellIs" dxfId="271" priority="323" operator="equal">
      <formula>"Strategic"</formula>
    </cfRule>
  </conditionalFormatting>
  <conditionalFormatting sqref="H194">
    <cfRule type="containsText" dxfId="270" priority="315" operator="containsText" text="Operational">
      <formula>NOT(ISERROR(SEARCH("Operational",H194)))</formula>
    </cfRule>
    <cfRule type="containsText" dxfId="269" priority="316" operator="containsText" text="Tactical">
      <formula>NOT(ISERROR(SEARCH("Tactical",H194)))</formula>
    </cfRule>
    <cfRule type="cellIs" dxfId="268" priority="317" operator="equal">
      <formula>"Strategic"</formula>
    </cfRule>
  </conditionalFormatting>
  <conditionalFormatting sqref="F196">
    <cfRule type="containsText" dxfId="267" priority="303" operator="containsText" text="Operational">
      <formula>NOT(ISERROR(SEARCH("Operational",F196)))</formula>
    </cfRule>
    <cfRule type="containsText" dxfId="266" priority="304" operator="containsText" text="Tactical">
      <formula>NOT(ISERROR(SEARCH("Tactical",F196)))</formula>
    </cfRule>
    <cfRule type="cellIs" dxfId="265" priority="305" operator="equal">
      <formula>"Strategic"</formula>
    </cfRule>
  </conditionalFormatting>
  <conditionalFormatting sqref="D196">
    <cfRule type="containsText" dxfId="264" priority="300" operator="containsText" text="Operational">
      <formula>NOT(ISERROR(SEARCH("Operational",D196)))</formula>
    </cfRule>
    <cfRule type="containsText" dxfId="263" priority="301" operator="containsText" text="Tactical">
      <formula>NOT(ISERROR(SEARCH("Tactical",D196)))</formula>
    </cfRule>
    <cfRule type="cellIs" dxfId="262" priority="302" operator="equal">
      <formula>"Strategic"</formula>
    </cfRule>
  </conditionalFormatting>
  <conditionalFormatting sqref="H196">
    <cfRule type="containsText" dxfId="261" priority="294" operator="containsText" text="Operational">
      <formula>NOT(ISERROR(SEARCH("Operational",H196)))</formula>
    </cfRule>
    <cfRule type="containsText" dxfId="260" priority="295" operator="containsText" text="Tactical">
      <formula>NOT(ISERROR(SEARCH("Tactical",H196)))</formula>
    </cfRule>
    <cfRule type="cellIs" dxfId="259" priority="296" operator="equal">
      <formula>"Strategic"</formula>
    </cfRule>
  </conditionalFormatting>
  <conditionalFormatting sqref="H196">
    <cfRule type="containsText" dxfId="258" priority="291" operator="containsText" text="Operational">
      <formula>NOT(ISERROR(SEARCH("Operational",H196)))</formula>
    </cfRule>
    <cfRule type="containsText" dxfId="257" priority="292" operator="containsText" text="Tactical">
      <formula>NOT(ISERROR(SEARCH("Tactical",H196)))</formula>
    </cfRule>
    <cfRule type="cellIs" dxfId="256" priority="293" operator="equal">
      <formula>"Strategic"</formula>
    </cfRule>
  </conditionalFormatting>
  <conditionalFormatting sqref="H151">
    <cfRule type="containsText" dxfId="255" priority="267" operator="containsText" text="Operational">
      <formula>NOT(ISERROR(SEARCH("Operational",H151)))</formula>
    </cfRule>
    <cfRule type="containsText" dxfId="254" priority="268" operator="containsText" text="Tactical">
      <formula>NOT(ISERROR(SEARCH("Tactical",H151)))</formula>
    </cfRule>
    <cfRule type="cellIs" dxfId="253" priority="269" operator="equal">
      <formula>"Strategic"</formula>
    </cfRule>
  </conditionalFormatting>
  <conditionalFormatting sqref="D151">
    <cfRule type="containsText" dxfId="252" priority="264" operator="containsText" text="Operational">
      <formula>NOT(ISERROR(SEARCH("Operational",D151)))</formula>
    </cfRule>
    <cfRule type="containsText" dxfId="251" priority="265" operator="containsText" text="Tactical">
      <formula>NOT(ISERROR(SEARCH("Tactical",D151)))</formula>
    </cfRule>
    <cfRule type="cellIs" dxfId="250" priority="266" operator="equal">
      <formula>"Strategic"</formula>
    </cfRule>
  </conditionalFormatting>
  <conditionalFormatting sqref="H197">
    <cfRule type="containsText" dxfId="249" priority="100" operator="containsText" text="Operational">
      <formula>NOT(ISERROR(SEARCH("Operational",H197)))</formula>
    </cfRule>
    <cfRule type="containsText" dxfId="248" priority="101" operator="containsText" text="Tactical">
      <formula>NOT(ISERROR(SEARCH("Tactical",H197)))</formula>
    </cfRule>
    <cfRule type="cellIs" dxfId="247" priority="102" operator="equal">
      <formula>"Strategic"</formula>
    </cfRule>
  </conditionalFormatting>
  <conditionalFormatting sqref="H197">
    <cfRule type="containsText" dxfId="246" priority="97" operator="containsText" text="Operational">
      <formula>NOT(ISERROR(SEARCH("Operational",H197)))</formula>
    </cfRule>
    <cfRule type="containsText" dxfId="245" priority="98" operator="containsText" text="Tactical">
      <formula>NOT(ISERROR(SEARCH("Tactical",H197)))</formula>
    </cfRule>
    <cfRule type="cellIs" dxfId="244" priority="99" operator="equal">
      <formula>"Strategic"</formula>
    </cfRule>
  </conditionalFormatting>
  <conditionalFormatting sqref="G160">
    <cfRule type="containsText" dxfId="243" priority="94" operator="containsText" text="Operational">
      <formula>NOT(ISERROR(SEARCH("Operational",G160)))</formula>
    </cfRule>
    <cfRule type="containsText" dxfId="242" priority="95" operator="containsText" text="Tactical">
      <formula>NOT(ISERROR(SEARCH("Tactical",G160)))</formula>
    </cfRule>
    <cfRule type="cellIs" dxfId="241" priority="96" operator="equal">
      <formula>"Strategic"</formula>
    </cfRule>
  </conditionalFormatting>
  <conditionalFormatting sqref="D189">
    <cfRule type="containsText" dxfId="240" priority="91" operator="containsText" text="Operational">
      <formula>NOT(ISERROR(SEARCH("Operational",D189)))</formula>
    </cfRule>
    <cfRule type="containsText" dxfId="239" priority="92" operator="containsText" text="Tactical">
      <formula>NOT(ISERROR(SEARCH("Tactical",D189)))</formula>
    </cfRule>
    <cfRule type="cellIs" dxfId="238" priority="93" operator="equal">
      <formula>"Strategic"</formula>
    </cfRule>
  </conditionalFormatting>
  <conditionalFormatting sqref="F167">
    <cfRule type="containsText" dxfId="237" priority="88" operator="containsText" text="Operational">
      <formula>NOT(ISERROR(SEARCH("Operational",F167)))</formula>
    </cfRule>
    <cfRule type="containsText" dxfId="236" priority="89" operator="containsText" text="Tactical">
      <formula>NOT(ISERROR(SEARCH("Tactical",F167)))</formula>
    </cfRule>
    <cfRule type="cellIs" dxfId="235" priority="90" operator="equal">
      <formula>"Strategic"</formula>
    </cfRule>
  </conditionalFormatting>
  <conditionalFormatting sqref="F168">
    <cfRule type="containsText" dxfId="234" priority="85" operator="containsText" text="Operational">
      <formula>NOT(ISERROR(SEARCH("Operational",F168)))</formula>
    </cfRule>
    <cfRule type="containsText" dxfId="233" priority="86" operator="containsText" text="Tactical">
      <formula>NOT(ISERROR(SEARCH("Tactical",F168)))</formula>
    </cfRule>
    <cfRule type="cellIs" dxfId="232" priority="87" operator="equal">
      <formula>"Strategic"</formula>
    </cfRule>
  </conditionalFormatting>
  <conditionalFormatting sqref="G169">
    <cfRule type="containsText" dxfId="231" priority="82" operator="containsText" text="Operational">
      <formula>NOT(ISERROR(SEARCH("Operational",G169)))</formula>
    </cfRule>
    <cfRule type="containsText" dxfId="230" priority="83" operator="containsText" text="Tactical">
      <formula>NOT(ISERROR(SEARCH("Tactical",G169)))</formula>
    </cfRule>
    <cfRule type="cellIs" dxfId="229" priority="84" operator="equal">
      <formula>"Strategic"</formula>
    </cfRule>
  </conditionalFormatting>
  <conditionalFormatting sqref="G164">
    <cfRule type="containsText" dxfId="228" priority="79" operator="containsText" text="Operational">
      <formula>NOT(ISERROR(SEARCH("Operational",G164)))</formula>
    </cfRule>
    <cfRule type="containsText" dxfId="227" priority="80" operator="containsText" text="Tactical">
      <formula>NOT(ISERROR(SEARCH("Tactical",G164)))</formula>
    </cfRule>
    <cfRule type="cellIs" dxfId="226" priority="81" operator="equal">
      <formula>"Strategic"</formula>
    </cfRule>
  </conditionalFormatting>
  <conditionalFormatting sqref="H170">
    <cfRule type="containsText" dxfId="225" priority="76" operator="containsText" text="Operational">
      <formula>NOT(ISERROR(SEARCH("Operational",H170)))</formula>
    </cfRule>
    <cfRule type="containsText" dxfId="224" priority="77" operator="containsText" text="Tactical">
      <formula>NOT(ISERROR(SEARCH("Tactical",H170)))</formula>
    </cfRule>
    <cfRule type="cellIs" dxfId="223" priority="78" operator="equal">
      <formula>"Strategic"</formula>
    </cfRule>
  </conditionalFormatting>
  <conditionalFormatting sqref="H193">
    <cfRule type="containsText" dxfId="222" priority="73" operator="containsText" text="Operational">
      <formula>NOT(ISERROR(SEARCH("Operational",H193)))</formula>
    </cfRule>
    <cfRule type="containsText" dxfId="221" priority="74" operator="containsText" text="Tactical">
      <formula>NOT(ISERROR(SEARCH("Tactical",H193)))</formula>
    </cfRule>
    <cfRule type="cellIs" dxfId="220" priority="75" operator="equal">
      <formula>"Strategic"</formula>
    </cfRule>
  </conditionalFormatting>
  <conditionalFormatting sqref="H193">
    <cfRule type="containsText" dxfId="219" priority="70" operator="containsText" text="Operational">
      <formula>NOT(ISERROR(SEARCH("Operational",H193)))</formula>
    </cfRule>
    <cfRule type="containsText" dxfId="218" priority="71" operator="containsText" text="Tactical">
      <formula>NOT(ISERROR(SEARCH("Tactical",H193)))</formula>
    </cfRule>
    <cfRule type="cellIs" dxfId="217" priority="72" operator="equal">
      <formula>"Strategic"</formula>
    </cfRule>
  </conditionalFormatting>
  <conditionalFormatting sqref="F194">
    <cfRule type="containsText" dxfId="216" priority="67" operator="containsText" text="Operational">
      <formula>NOT(ISERROR(SEARCH("Operational",F194)))</formula>
    </cfRule>
    <cfRule type="containsText" dxfId="215" priority="68" operator="containsText" text="Tactical">
      <formula>NOT(ISERROR(SEARCH("Tactical",F194)))</formula>
    </cfRule>
    <cfRule type="cellIs" dxfId="214" priority="69" operator="equal">
      <formula>"Strategic"</formula>
    </cfRule>
  </conditionalFormatting>
  <conditionalFormatting sqref="F194">
    <cfRule type="containsText" dxfId="213" priority="64" operator="containsText" text="Operational">
      <formula>NOT(ISERROR(SEARCH("Operational",F194)))</formula>
    </cfRule>
    <cfRule type="containsText" dxfId="212" priority="65" operator="containsText" text="Tactical">
      <formula>NOT(ISERROR(SEARCH("Tactical",F194)))</formula>
    </cfRule>
    <cfRule type="cellIs" dxfId="211" priority="66" operator="equal">
      <formula>"Strategic"</formula>
    </cfRule>
  </conditionalFormatting>
  <conditionalFormatting sqref="F178">
    <cfRule type="containsText" dxfId="210" priority="58" operator="containsText" text="Operational">
      <formula>NOT(ISERROR(SEARCH("Operational",F178)))</formula>
    </cfRule>
    <cfRule type="containsText" dxfId="209" priority="59" operator="containsText" text="Tactical">
      <formula>NOT(ISERROR(SEARCH("Tactical",F178)))</formula>
    </cfRule>
    <cfRule type="cellIs" dxfId="208" priority="60" operator="equal">
      <formula>"Strategic"</formula>
    </cfRule>
  </conditionalFormatting>
  <conditionalFormatting sqref="D178">
    <cfRule type="containsText" dxfId="207" priority="61" operator="containsText" text="Operational">
      <formula>NOT(ISERROR(SEARCH("Operational",D178)))</formula>
    </cfRule>
    <cfRule type="containsText" dxfId="206" priority="62" operator="containsText" text="Tactical">
      <formula>NOT(ISERROR(SEARCH("Tactical",D178)))</formula>
    </cfRule>
    <cfRule type="cellIs" dxfId="205" priority="63" operator="equal">
      <formula>"Strategic"</formula>
    </cfRule>
  </conditionalFormatting>
  <conditionalFormatting sqref="F182">
    <cfRule type="containsText" dxfId="204" priority="52" operator="containsText" text="Operational">
      <formula>NOT(ISERROR(SEARCH("Operational",F182)))</formula>
    </cfRule>
    <cfRule type="containsText" dxfId="203" priority="53" operator="containsText" text="Tactical">
      <formula>NOT(ISERROR(SEARCH("Tactical",F182)))</formula>
    </cfRule>
    <cfRule type="cellIs" dxfId="202" priority="54" operator="equal">
      <formula>"Strategic"</formula>
    </cfRule>
  </conditionalFormatting>
  <conditionalFormatting sqref="F182">
    <cfRule type="containsText" dxfId="201" priority="55" operator="containsText" text="Operational">
      <formula>NOT(ISERROR(SEARCH("Operational",F182)))</formula>
    </cfRule>
    <cfRule type="containsText" dxfId="200" priority="56" operator="containsText" text="Tactical">
      <formula>NOT(ISERROR(SEARCH("Tactical",F182)))</formula>
    </cfRule>
    <cfRule type="cellIs" dxfId="199" priority="57" operator="equal">
      <formula>"Strategic"</formula>
    </cfRule>
  </conditionalFormatting>
  <conditionalFormatting sqref="F160">
    <cfRule type="containsText" dxfId="198" priority="31" operator="containsText" text="Operational">
      <formula>NOT(ISERROR(SEARCH("Operational",F160)))</formula>
    </cfRule>
    <cfRule type="containsText" dxfId="197" priority="32" operator="containsText" text="Tactical">
      <formula>NOT(ISERROR(SEARCH("Tactical",F160)))</formula>
    </cfRule>
    <cfRule type="cellIs" dxfId="196" priority="33" operator="equal">
      <formula>"Strategic"</formula>
    </cfRule>
  </conditionalFormatting>
  <conditionalFormatting sqref="H180">
    <cfRule type="containsText" dxfId="195" priority="49" operator="containsText" text="Operational">
      <formula>NOT(ISERROR(SEARCH("Operational",H180)))</formula>
    </cfRule>
    <cfRule type="containsText" dxfId="194" priority="50" operator="containsText" text="Tactical">
      <formula>NOT(ISERROR(SEARCH("Tactical",H180)))</formula>
    </cfRule>
    <cfRule type="cellIs" dxfId="193" priority="51" operator="equal">
      <formula>"Strategic"</formula>
    </cfRule>
  </conditionalFormatting>
  <conditionalFormatting sqref="G180">
    <cfRule type="containsText" dxfId="192" priority="46" operator="containsText" text="Operational">
      <formula>NOT(ISERROR(SEARCH("Operational",G180)))</formula>
    </cfRule>
    <cfRule type="containsText" dxfId="191" priority="47" operator="containsText" text="Tactical">
      <formula>NOT(ISERROR(SEARCH("Tactical",G180)))</formula>
    </cfRule>
    <cfRule type="cellIs" dxfId="190" priority="48" operator="equal">
      <formula>"Strategic"</formula>
    </cfRule>
  </conditionalFormatting>
  <conditionalFormatting sqref="G196">
    <cfRule type="containsText" dxfId="189" priority="43" operator="containsText" text="Operational">
      <formula>NOT(ISERROR(SEARCH("Operational",G196)))</formula>
    </cfRule>
    <cfRule type="containsText" dxfId="188" priority="44" operator="containsText" text="Tactical">
      <formula>NOT(ISERROR(SEARCH("Tactical",G196)))</formula>
    </cfRule>
    <cfRule type="cellIs" dxfId="187" priority="45" operator="equal">
      <formula>"Strategic"</formula>
    </cfRule>
  </conditionalFormatting>
  <conditionalFormatting sqref="G151">
    <cfRule type="containsText" dxfId="186" priority="40" operator="containsText" text="Operational">
      <formula>NOT(ISERROR(SEARCH("Operational",G151)))</formula>
    </cfRule>
    <cfRule type="containsText" dxfId="185" priority="41" operator="containsText" text="Tactical">
      <formula>NOT(ISERROR(SEARCH("Tactical",G151)))</formula>
    </cfRule>
    <cfRule type="cellIs" dxfId="184" priority="42" operator="equal">
      <formula>"Strategic"</formula>
    </cfRule>
  </conditionalFormatting>
  <conditionalFormatting sqref="F155">
    <cfRule type="containsText" dxfId="183" priority="37" operator="containsText" text="Operational">
      <formula>NOT(ISERROR(SEARCH("Operational",F155)))</formula>
    </cfRule>
    <cfRule type="containsText" dxfId="182" priority="38" operator="containsText" text="Tactical">
      <formula>NOT(ISERROR(SEARCH("Tactical",F155)))</formula>
    </cfRule>
    <cfRule type="cellIs" dxfId="181" priority="39" operator="equal">
      <formula>"Strategic"</formula>
    </cfRule>
  </conditionalFormatting>
  <conditionalFormatting sqref="H157">
    <cfRule type="containsText" dxfId="180" priority="34" operator="containsText" text="Operational">
      <formula>NOT(ISERROR(SEARCH("Operational",H157)))</formula>
    </cfRule>
    <cfRule type="containsText" dxfId="179" priority="35" operator="containsText" text="Tactical">
      <formula>NOT(ISERROR(SEARCH("Tactical",H157)))</formula>
    </cfRule>
    <cfRule type="cellIs" dxfId="178" priority="36" operator="equal">
      <formula>"Strategic"</formula>
    </cfRule>
  </conditionalFormatting>
  <conditionalFormatting sqref="F190">
    <cfRule type="containsText" dxfId="177" priority="28" operator="containsText" text="Operational">
      <formula>NOT(ISERROR(SEARCH("Operational",F190)))</formula>
    </cfRule>
    <cfRule type="containsText" dxfId="176" priority="29" operator="containsText" text="Tactical">
      <formula>NOT(ISERROR(SEARCH("Tactical",F190)))</formula>
    </cfRule>
    <cfRule type="cellIs" dxfId="175" priority="30" operator="equal">
      <formula>"Strategic"</formula>
    </cfRule>
  </conditionalFormatting>
  <conditionalFormatting sqref="F190">
    <cfRule type="containsText" dxfId="174" priority="25" operator="containsText" text="Operational">
      <formula>NOT(ISERROR(SEARCH("Operational",F190)))</formula>
    </cfRule>
    <cfRule type="containsText" dxfId="173" priority="26" operator="containsText" text="Tactical">
      <formula>NOT(ISERROR(SEARCH("Tactical",F190)))</formula>
    </cfRule>
    <cfRule type="cellIs" dxfId="172" priority="27" operator="equal">
      <formula>"Strategic"</formula>
    </cfRule>
  </conditionalFormatting>
  <conditionalFormatting sqref="C5:C197">
    <cfRule type="colorScale" priority="6702">
      <colorScale>
        <cfvo type="min"/>
        <cfvo type="max"/>
        <color rgb="FFFFEF9C"/>
        <color rgb="FF63BE7B"/>
      </colorScale>
    </cfRule>
  </conditionalFormatting>
  <conditionalFormatting sqref="I5:I197">
    <cfRule type="dataBar" priority="67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{655E7CA1-EA3E-4345-832F-C07C9FF6BE26}</x14:id>
        </ext>
      </extLst>
    </cfRule>
  </conditionalFormatting>
  <conditionalFormatting sqref="F191">
    <cfRule type="containsText" dxfId="171" priority="22" operator="containsText" text="Operational">
      <formula>NOT(ISERROR(SEARCH("Operational",F191)))</formula>
    </cfRule>
    <cfRule type="containsText" dxfId="170" priority="23" operator="containsText" text="Tactical">
      <formula>NOT(ISERROR(SEARCH("Tactical",F191)))</formula>
    </cfRule>
    <cfRule type="cellIs" dxfId="169" priority="24" operator="equal">
      <formula>"Strategic"</formula>
    </cfRule>
  </conditionalFormatting>
  <conditionalFormatting sqref="F191">
    <cfRule type="containsText" dxfId="168" priority="19" operator="containsText" text="Operational">
      <formula>NOT(ISERROR(SEARCH("Operational",F191)))</formula>
    </cfRule>
    <cfRule type="containsText" dxfId="167" priority="20" operator="containsText" text="Tactical">
      <formula>NOT(ISERROR(SEARCH("Tactical",F191)))</formula>
    </cfRule>
    <cfRule type="cellIs" dxfId="166" priority="21" operator="equal">
      <formula>"Strategic"</formula>
    </cfRule>
  </conditionalFormatting>
  <conditionalFormatting sqref="D179">
    <cfRule type="containsText" dxfId="165" priority="16" operator="containsText" text="Operational">
      <formula>NOT(ISERROR(SEARCH("Operational",D179)))</formula>
    </cfRule>
    <cfRule type="containsText" dxfId="164" priority="17" operator="containsText" text="Tactical">
      <formula>NOT(ISERROR(SEARCH("Tactical",D179)))</formula>
    </cfRule>
    <cfRule type="cellIs" dxfId="163" priority="18" operator="equal">
      <formula>"Strategic"</formula>
    </cfRule>
  </conditionalFormatting>
  <conditionalFormatting sqref="D155">
    <cfRule type="containsText" dxfId="162" priority="13" operator="containsText" text="Operational">
      <formula>NOT(ISERROR(SEARCH("Operational",D155)))</formula>
    </cfRule>
    <cfRule type="containsText" dxfId="161" priority="14" operator="containsText" text="Tactical">
      <formula>NOT(ISERROR(SEARCH("Tactical",D155)))</formula>
    </cfRule>
    <cfRule type="cellIs" dxfId="160" priority="15" operator="equal">
      <formula>"Strategic"</formula>
    </cfRule>
  </conditionalFormatting>
  <conditionalFormatting sqref="E95">
    <cfRule type="containsText" dxfId="159" priority="10" operator="containsText" text="Operational">
      <formula>NOT(ISERROR(SEARCH("Operational",E95)))</formula>
    </cfRule>
    <cfRule type="containsText" dxfId="158" priority="11" operator="containsText" text="Tactical">
      <formula>NOT(ISERROR(SEARCH("Tactical",E95)))</formula>
    </cfRule>
    <cfRule type="cellIs" dxfId="157" priority="12" operator="equal">
      <formula>"Strategic"</formula>
    </cfRule>
  </conditionalFormatting>
  <conditionalFormatting sqref="E95">
    <cfRule type="containsText" dxfId="156" priority="7" operator="containsText" text="Operational">
      <formula>NOT(ISERROR(SEARCH("Operational",E95)))</formula>
    </cfRule>
    <cfRule type="containsText" dxfId="155" priority="8" operator="containsText" text="Tactical">
      <formula>NOT(ISERROR(SEARCH("Tactical",E95)))</formula>
    </cfRule>
    <cfRule type="cellIs" dxfId="154" priority="9" operator="equal">
      <formula>"Strategic"</formula>
    </cfRule>
  </conditionalFormatting>
  <conditionalFormatting sqref="E124">
    <cfRule type="containsText" dxfId="153" priority="4" operator="containsText" text="Operational">
      <formula>NOT(ISERROR(SEARCH("Operational",E124)))</formula>
    </cfRule>
    <cfRule type="containsText" dxfId="152" priority="5" operator="containsText" text="Tactical">
      <formula>NOT(ISERROR(SEARCH("Tactical",E124)))</formula>
    </cfRule>
    <cfRule type="cellIs" dxfId="151" priority="6" operator="equal">
      <formula>"Strategic"</formula>
    </cfRule>
  </conditionalFormatting>
  <conditionalFormatting sqref="E124">
    <cfRule type="containsText" dxfId="150" priority="1" operator="containsText" text="Operational">
      <formula>NOT(ISERROR(SEARCH("Operational",E124)))</formula>
    </cfRule>
    <cfRule type="containsText" dxfId="149" priority="2" operator="containsText" text="Tactical">
      <formula>NOT(ISERROR(SEARCH("Tactical",E124)))</formula>
    </cfRule>
    <cfRule type="cellIs" dxfId="148" priority="3" operator="equal">
      <formula>"Strategic"</formula>
    </cfRule>
  </conditionalFormatting>
  <conditionalFormatting sqref="J5:J198">
    <cfRule type="dataBar" priority="676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{9ED0ED44-F002-324C-892A-30A95C4429B7}</x14:id>
        </ext>
      </extLst>
    </cfRule>
  </conditionalFormatting>
  <pageMargins left="0.7" right="0.7" top="0.75" bottom="0.75" header="0.5" footer="0.5"/>
  <pageSetup paperSize="9"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55E7CA1-EA3E-4345-832F-C07C9FF6BE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I5:I197</xm:sqref>
        </x14:conditionalFormatting>
        <x14:conditionalFormatting xmlns:xm="http://schemas.microsoft.com/office/excel/2006/main">
          <x14:cfRule type="dataBar" id="{9ED0ED44-F002-324C-892A-30A95C4429B7}">
            <x14:dataBar minLength="0" maxLength="100" negativeBarColorSameAsPositive="1" axisPosition="none">
              <x14:cfvo type="min"/>
              <x14:cfvo type="max"/>
            </x14:dataBar>
          </x14:cfRule>
          <xm:sqref>J5:J198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98"/>
  <sheetViews>
    <sheetView tabSelected="1" topLeftCell="A8" workbookViewId="0">
      <selection activeCell="X39" sqref="X39"/>
    </sheetView>
  </sheetViews>
  <sheetFormatPr baseColWidth="10" defaultRowHeight="16" x14ac:dyDescent="0.2"/>
  <cols>
    <col min="1" max="1" width="10.83203125" style="2"/>
    <col min="2" max="2" width="21" style="2" customWidth="1"/>
    <col min="3" max="14" width="10.83203125" style="2"/>
    <col min="15" max="15" width="10.83203125" style="2" customWidth="1"/>
    <col min="16" max="16384" width="10.83203125" style="2"/>
  </cols>
  <sheetData>
    <row r="2" spans="2:14" ht="19" x14ac:dyDescent="0.25">
      <c r="B2" s="143" t="s">
        <v>405</v>
      </c>
    </row>
    <row r="3" spans="2:14" ht="17" thickBot="1" x14ac:dyDescent="0.25">
      <c r="C3" s="59">
        <v>2007</v>
      </c>
      <c r="D3" s="59">
        <v>2008</v>
      </c>
      <c r="E3" s="59">
        <v>2009</v>
      </c>
      <c r="F3" s="59">
        <v>2010</v>
      </c>
      <c r="G3" s="59">
        <v>2011</v>
      </c>
      <c r="H3" s="59">
        <v>2012</v>
      </c>
      <c r="I3" s="59">
        <v>2013</v>
      </c>
      <c r="J3" s="59">
        <v>2014</v>
      </c>
      <c r="K3" s="59">
        <v>2015</v>
      </c>
      <c r="L3" s="59">
        <v>2016</v>
      </c>
      <c r="M3" s="59" t="s">
        <v>455</v>
      </c>
    </row>
    <row r="4" spans="2:14" ht="17" thickBot="1" x14ac:dyDescent="0.25">
      <c r="B4" s="52" t="s">
        <v>137</v>
      </c>
      <c r="C4" s="39">
        <f>COUNTIFS('SOTA full paper filtered'!$C$5:$C$197,"2007",'SOTA full paper filtered'!$D$5:$D$197,"operational")</f>
        <v>4</v>
      </c>
      <c r="D4" s="39">
        <f>COUNTIFS('SOTA full paper filtered'!$C$5:$C$197,"2008",'SOTA full paper filtered'!$D$5:$D$197,"operational")</f>
        <v>1</v>
      </c>
      <c r="E4" s="39">
        <f>COUNTIFS('SOTA full paper filtered'!$C$5:$C$197,"2009",'SOTA full paper filtered'!$D$5:$D$197,"operational")</f>
        <v>2</v>
      </c>
      <c r="F4" s="39">
        <f>COUNTIFS('SOTA full paper filtered'!$C$5:$C$197,"2010",'SOTA full paper filtered'!$D$5:$D$197,"operational")</f>
        <v>1</v>
      </c>
      <c r="G4" s="39">
        <f>COUNTIFS('SOTA full paper filtered'!$C$5:$C$197,"2011",'SOTA full paper filtered'!$D$5:$D$197,"operational")</f>
        <v>6</v>
      </c>
      <c r="H4" s="39">
        <f>COUNTIFS('SOTA full paper filtered'!$C$5:$C$197,"2012",'SOTA full paper filtered'!$D$5:$D$197,"operational")</f>
        <v>5</v>
      </c>
      <c r="I4" s="39">
        <f>COUNTIFS('SOTA full paper filtered'!$C$5:$C$197,"2013",'SOTA full paper filtered'!$D$5:$D$197,"operational")</f>
        <v>5</v>
      </c>
      <c r="J4" s="39">
        <f>COUNTIFS('SOTA full paper filtered'!$C$5:$C$197,"2014",'SOTA full paper filtered'!$D$5:$D$197,"operational")</f>
        <v>13</v>
      </c>
      <c r="K4" s="39">
        <f>COUNTIFS('SOTA full paper filtered'!$C$5:$C$197,"2015",'SOTA full paper filtered'!$D$5:$D$197,"operational")</f>
        <v>12</v>
      </c>
      <c r="L4" s="39">
        <f>COUNTIFS('SOTA full paper filtered'!$C$5:$C$197,"2016",'SOTA full paper filtered'!$D$5:$D$197,"operational")</f>
        <v>7</v>
      </c>
      <c r="M4" s="39">
        <f>COUNTIFS('SOTA full paper filtered'!$C$5:$C$197,"2017",'SOTA full paper filtered'!$D$5:$D$197,"operational")</f>
        <v>2</v>
      </c>
      <c r="N4" s="59">
        <f>SUM(C4:M4)</f>
        <v>58</v>
      </c>
    </row>
    <row r="5" spans="2:14" ht="17" thickBot="1" x14ac:dyDescent="0.25">
      <c r="B5" s="52" t="s">
        <v>138</v>
      </c>
      <c r="C5" s="39">
        <f>COUNTIFS('SOTA full paper filtered'!$C$5:$C$197,"2007",'SOTA full paper filtered'!$D$5:$D$197,"tactical")</f>
        <v>3</v>
      </c>
      <c r="D5" s="39">
        <f>COUNTIFS('SOTA full paper filtered'!$C$5:$C$197,"2008",'SOTA full paper filtered'!$D$5:$D$197,"tactical")</f>
        <v>1</v>
      </c>
      <c r="E5" s="39">
        <f>COUNTIFS('SOTA full paper filtered'!$C$5:$C$197,"2009",'SOTA full paper filtered'!$D$5:$D$197,"tactical")</f>
        <v>0</v>
      </c>
      <c r="F5" s="39">
        <f>COUNTIFS('SOTA full paper filtered'!$C$5:$C$197,"2010",'SOTA full paper filtered'!$D$5:$D$197,"tactical")</f>
        <v>0</v>
      </c>
      <c r="G5" s="39">
        <f>COUNTIFS('SOTA full paper filtered'!$C$5:$C$197,"2011",'SOTA full paper filtered'!$D$5:$D$197,"tactical")</f>
        <v>5</v>
      </c>
      <c r="H5" s="39">
        <f>COUNTIFS('SOTA full paper filtered'!$C$5:$C$197,"2012",'SOTA full paper filtered'!$D$5:$D$197,"tactical")</f>
        <v>6</v>
      </c>
      <c r="I5" s="39">
        <f>COUNTIFS('SOTA full paper filtered'!$C$5:$C$197,"2013",'SOTA full paper filtered'!$D$5:$D$197,"tactical")</f>
        <v>3</v>
      </c>
      <c r="J5" s="39">
        <f>COUNTIFS('SOTA full paper filtered'!$C$5:$C$197,"2014",'SOTA full paper filtered'!$D$5:$D$197,"tactical")</f>
        <v>4</v>
      </c>
      <c r="K5" s="39">
        <f>COUNTIFS('SOTA full paper filtered'!$C$5:$C$197,"2015",'SOTA full paper filtered'!$D$5:$D$197,"tactical")</f>
        <v>2</v>
      </c>
      <c r="L5" s="39">
        <f>COUNTIFS('SOTA full paper filtered'!$C$5:$C$197,"2016",'SOTA full paper filtered'!$D$5:$D$197,"tactical")</f>
        <v>8</v>
      </c>
      <c r="M5" s="39">
        <f>COUNTIFS('SOTA full paper filtered'!$C$5:$C$197,"2017",'SOTA full paper filtered'!$D$5:$D$197,"tactical")</f>
        <v>2</v>
      </c>
      <c r="N5" s="59">
        <f t="shared" ref="N5:N7" si="0">SUM(C5:M5)</f>
        <v>34</v>
      </c>
    </row>
    <row r="6" spans="2:14" ht="17" thickBot="1" x14ac:dyDescent="0.25">
      <c r="B6" s="52" t="s">
        <v>139</v>
      </c>
      <c r="C6" s="39">
        <f>COUNTIFS('SOTA full paper filtered'!$C$5:$C$197,"2007",'SOTA full paper filtered'!$D$5:$D$197,"strategic")</f>
        <v>1</v>
      </c>
      <c r="D6" s="39">
        <f>COUNTIFS('SOTA full paper filtered'!$C$5:$C$197,"2008",'SOTA full paper filtered'!$D$5:$D$197,"strategic")</f>
        <v>2</v>
      </c>
      <c r="E6" s="39">
        <f>COUNTIFS('SOTA full paper filtered'!$C$5:$C$197,"2009",'SOTA full paper filtered'!$D$5:$D$197,"strategic")</f>
        <v>5</v>
      </c>
      <c r="F6" s="39">
        <f>COUNTIFS('SOTA full paper filtered'!$C$5:$C$197,"2010",'SOTA full paper filtered'!$D$5:$D$197,"strategic")</f>
        <v>3</v>
      </c>
      <c r="G6" s="39">
        <f>COUNTIFS('SOTA full paper filtered'!$C$5:$C$197,"2011",'SOTA full paper filtered'!$D$5:$D$197,"strategic")</f>
        <v>3</v>
      </c>
      <c r="H6" s="39">
        <f>COUNTIFS('SOTA full paper filtered'!$C$5:$C$197,"2012",'SOTA full paper filtered'!$D$5:$D$197,"strategic")</f>
        <v>10</v>
      </c>
      <c r="I6" s="39">
        <f>COUNTIFS('SOTA full paper filtered'!$C$5:$C$197,"2013",'SOTA full paper filtered'!$D$5:$D$197,"strategic")</f>
        <v>11</v>
      </c>
      <c r="J6" s="39">
        <f>COUNTIFS('SOTA full paper filtered'!$C$5:$C$197,"2014",'SOTA full paper filtered'!$D$5:$D$197,"strategic")</f>
        <v>6</v>
      </c>
      <c r="K6" s="39">
        <f>COUNTIFS('SOTA full paper filtered'!$C$5:$C$197,"2015",'SOTA full paper filtered'!$D$5:$D$197,"strategic")</f>
        <v>17</v>
      </c>
      <c r="L6" s="39">
        <f>COUNTIFS('SOTA full paper filtered'!$C$5:$C$197,"2016",'SOTA full paper filtered'!$D$5:$D$197,"strategic")</f>
        <v>18</v>
      </c>
      <c r="M6" s="39">
        <f>COUNTIFS('SOTA full paper filtered'!$C$5:$C$197,"2017",'SOTA full paper filtered'!$D$5:$D$197,"strategic")</f>
        <v>5</v>
      </c>
      <c r="N6" s="59">
        <f t="shared" si="0"/>
        <v>81</v>
      </c>
    </row>
    <row r="7" spans="2:14" ht="17" thickBot="1" x14ac:dyDescent="0.25">
      <c r="B7" s="76" t="s">
        <v>315</v>
      </c>
      <c r="C7" s="39">
        <f>COUNTIFS('SOTA full paper filtered'!$C$5:$C$197,"2007",'SOTA full paper filtered'!$D$5:$D$197,"metalevel")</f>
        <v>0</v>
      </c>
      <c r="D7" s="39">
        <f>COUNTIFS('SOTA full paper filtered'!$C$5:$C$197,"2008",'SOTA full paper filtered'!$D$5:$D$197,"metalevel")</f>
        <v>1</v>
      </c>
      <c r="E7" s="39">
        <f>COUNTIFS('SOTA full paper filtered'!$C$5:$C$197,"2009",'SOTA full paper filtered'!$D$5:$D$197,"metalevel")</f>
        <v>1</v>
      </c>
      <c r="F7" s="39">
        <f>COUNTIFS('SOTA full paper filtered'!$C$5:$C$197,"2010",'SOTA full paper filtered'!$D$5:$D$197,"metalevel")</f>
        <v>1</v>
      </c>
      <c r="G7" s="39">
        <f>COUNTIFS('SOTA full paper filtered'!$C$5:$C$197,"2011",'SOTA full paper filtered'!$D$5:$D$197,"metalevel")</f>
        <v>4</v>
      </c>
      <c r="H7" s="39">
        <f>COUNTIFS('SOTA full paper filtered'!$C$5:$C$197,"2012",'SOTA full paper filtered'!$D$5:$D$197,"metalevel")</f>
        <v>3</v>
      </c>
      <c r="I7" s="39">
        <f>COUNTIFS('SOTA full paper filtered'!$C$5:$C$197,"2013",'SOTA full paper filtered'!$D$5:$D$197,"metalevel")</f>
        <v>1</v>
      </c>
      <c r="J7" s="39">
        <f>COUNTIFS('SOTA full paper filtered'!$C$5:$C$197,"2014",'SOTA full paper filtered'!$D$5:$D$197,"metalevel")</f>
        <v>2</v>
      </c>
      <c r="K7" s="39">
        <f>COUNTIFS('SOTA full paper filtered'!$C$5:$C$197,"2015",'SOTA full paper filtered'!$D$5:$D$197,"metalevel")</f>
        <v>2</v>
      </c>
      <c r="L7" s="39">
        <f>COUNTIFS('SOTA full paper filtered'!$C$5:$C$197,"2016",'SOTA full paper filtered'!$D$5:$D$197,"metalevel")</f>
        <v>3</v>
      </c>
      <c r="M7" s="39">
        <f>COUNTIFS('SOTA full paper filtered'!$C$5:$C$197,"2017",'SOTA full paper filtered'!$D$5:$D$197,"metalevel")</f>
        <v>2</v>
      </c>
      <c r="N7" s="59">
        <f t="shared" si="0"/>
        <v>20</v>
      </c>
    </row>
    <row r="8" spans="2:14" ht="17" thickBot="1" x14ac:dyDescent="0.25">
      <c r="C8" s="59">
        <f>SUM(C4:C7)</f>
        <v>8</v>
      </c>
      <c r="D8" s="59">
        <f t="shared" ref="D8:M8" si="1">SUM(D4:D7)</f>
        <v>5</v>
      </c>
      <c r="E8" s="59">
        <f t="shared" si="1"/>
        <v>8</v>
      </c>
      <c r="F8" s="59">
        <f t="shared" si="1"/>
        <v>5</v>
      </c>
      <c r="G8" s="59">
        <f t="shared" si="1"/>
        <v>18</v>
      </c>
      <c r="H8" s="59">
        <f t="shared" si="1"/>
        <v>24</v>
      </c>
      <c r="I8" s="59">
        <f t="shared" si="1"/>
        <v>20</v>
      </c>
      <c r="J8" s="59">
        <f t="shared" si="1"/>
        <v>25</v>
      </c>
      <c r="K8" s="59">
        <f t="shared" si="1"/>
        <v>33</v>
      </c>
      <c r="L8" s="59">
        <f t="shared" si="1"/>
        <v>36</v>
      </c>
      <c r="M8" s="59">
        <f t="shared" si="1"/>
        <v>11</v>
      </c>
      <c r="N8" s="2">
        <f>SUM(C8:M8)</f>
        <v>193</v>
      </c>
    </row>
    <row r="20" spans="2:14" ht="19" x14ac:dyDescent="0.25">
      <c r="B20" s="143" t="s">
        <v>490</v>
      </c>
    </row>
    <row r="21" spans="2:14" ht="17" thickBot="1" x14ac:dyDescent="0.25">
      <c r="C21" s="59">
        <v>2007</v>
      </c>
      <c r="D21" s="59">
        <v>2008</v>
      </c>
      <c r="E21" s="59">
        <v>2009</v>
      </c>
      <c r="F21" s="59">
        <v>2010</v>
      </c>
      <c r="G21" s="59">
        <v>2011</v>
      </c>
      <c r="H21" s="59">
        <v>2012</v>
      </c>
      <c r="I21" s="59">
        <v>2013</v>
      </c>
      <c r="J21" s="59">
        <v>2014</v>
      </c>
      <c r="K21" s="59">
        <v>2015</v>
      </c>
      <c r="L21" s="59">
        <v>2016</v>
      </c>
      <c r="M21" s="59">
        <v>2017</v>
      </c>
    </row>
    <row r="22" spans="2:14" ht="17" thickBot="1" x14ac:dyDescent="0.25">
      <c r="B22" s="50" t="s">
        <v>363</v>
      </c>
      <c r="C22" s="39">
        <f>COUNTIFS('SOTA full paper filtered'!$C$5:$C$197,"2007",'SOTA full paper filtered'!$H$5:$H$197,"Generic/Undefined")</f>
        <v>2</v>
      </c>
      <c r="D22" s="39">
        <f>COUNTIFS('SOTA full paper filtered'!$C$5:$C$197,"2008",'SOTA full paper filtered'!$H$5:$H$197,"Generic/Undefined")</f>
        <v>2</v>
      </c>
      <c r="E22" s="39">
        <f>COUNTIFS('SOTA full paper filtered'!$C$5:$C$197,"2009",'SOTA full paper filtered'!$H$5:$H$197,"Generic/Undefined")</f>
        <v>4</v>
      </c>
      <c r="F22" s="39">
        <f>COUNTIFS('SOTA full paper filtered'!$C$5:$C$197,"2010",'SOTA full paper filtered'!$H$5:$H$197,"Generic/Undefined")</f>
        <v>0</v>
      </c>
      <c r="G22" s="39">
        <f>COUNTIFS('SOTA full paper filtered'!$C$5:$C$197,"2011",'SOTA full paper filtered'!$H$5:$H$197,"Generic/Undefined")</f>
        <v>3</v>
      </c>
      <c r="H22" s="39">
        <f>COUNTIFS('SOTA full paper filtered'!$C$5:$C$197,"2012",'SOTA full paper filtered'!$H$5:$H$197,"Generic/Undefined")</f>
        <v>16</v>
      </c>
      <c r="I22" s="39">
        <f>COUNTIFS('SOTA full paper filtered'!$C$5:$C$197,"2013",'SOTA full paper filtered'!$H$5:$H$197,"Generic/Undefined")</f>
        <v>8</v>
      </c>
      <c r="J22" s="39">
        <f>COUNTIFS('SOTA full paper filtered'!$C$5:$C$197,"2014",'SOTA full paper filtered'!$H$5:$H$197,"Generic/Undefined")</f>
        <v>9</v>
      </c>
      <c r="K22" s="39">
        <f>COUNTIFS('SOTA full paper filtered'!$C$5:$C$197,"2015",'SOTA full paper filtered'!$H$5:$H$197,"Generic/Undefined")</f>
        <v>11</v>
      </c>
      <c r="L22" s="39">
        <f>COUNTIFS('SOTA full paper filtered'!$C$5:$C$197,"2016",'SOTA full paper filtered'!$H$5:$H$197,"Generic/Undefined")</f>
        <v>15</v>
      </c>
      <c r="M22" s="39">
        <f>COUNTIFS('SOTA full paper filtered'!$C$5:$C$197,"2017",'SOTA full paper filtered'!$H$5:$H$197,"Generic/Undefined")</f>
        <v>6</v>
      </c>
      <c r="N22" s="59">
        <f t="shared" ref="N22:N27" si="2">SUM(C22:M22)</f>
        <v>76</v>
      </c>
    </row>
    <row r="23" spans="2:14" ht="17" thickBot="1" x14ac:dyDescent="0.25">
      <c r="B23" s="39" t="s">
        <v>362</v>
      </c>
      <c r="C23" s="39">
        <f>COUNTIFS('SOTA full paper filtered'!$C$5:$C$197,"2007",'SOTA full paper filtered'!$H$5:$H$197,"agriculture and mining")</f>
        <v>0</v>
      </c>
      <c r="D23" s="39">
        <f>COUNTIFS('SOTA full paper filtered'!$C$5:$C$197,"2008",'SOTA full paper filtered'!$H$5:$H$197,"agriculture and mining")</f>
        <v>0</v>
      </c>
      <c r="E23" s="39">
        <f>COUNTIFS('SOTA full paper filtered'!$C$5:$C$197,"2009",'SOTA full paper filtered'!$H$5:$H$197,"agriculture and mining")</f>
        <v>1</v>
      </c>
      <c r="F23" s="39">
        <f>COUNTIFS('SOTA full paper filtered'!$C$5:$C$197,"2010",'SOTA full paper filtered'!$H$5:$H$197,"agriculture and mining")</f>
        <v>1</v>
      </c>
      <c r="G23" s="39">
        <f>COUNTIFS('SOTA full paper filtered'!$C$5:$C$197,"2011",'SOTA full paper filtered'!$H$5:$H$197,"agriculture and mining")</f>
        <v>1</v>
      </c>
      <c r="H23" s="39">
        <f>COUNTIFS('SOTA full paper filtered'!$C$5:$C$197,"2012",'SOTA full paper filtered'!$H$5:$H$197,"agriculture and mining")</f>
        <v>0</v>
      </c>
      <c r="I23" s="39">
        <f>COUNTIFS('SOTA full paper filtered'!$C$5:$C$197,"2013",'SOTA full paper filtered'!$H$5:$H$197,"agriculture and mining")</f>
        <v>0</v>
      </c>
      <c r="J23" s="39">
        <f>COUNTIFS('SOTA full paper filtered'!$C$5:$C$197,"2014",'SOTA full paper filtered'!$H$5:$H$197,"agriculture and mining")</f>
        <v>0</v>
      </c>
      <c r="K23" s="39">
        <f>COUNTIFS('SOTA full paper filtered'!$C$5:$C$197,"2015",'SOTA full paper filtered'!$H$5:$H$197,"agriculture and mining")</f>
        <v>0</v>
      </c>
      <c r="L23" s="39">
        <f>COUNTIFS('SOTA full paper filtered'!$C$5:$C$197,"2016",'SOTA full paper filtered'!$H$5:$H$197,"agriculture and mining")</f>
        <v>0</v>
      </c>
      <c r="M23" s="39">
        <f>COUNTIFS('SOTA full paper filtered'!$C$5:$C$197,"2017",'SOTA full paper filtered'!$H$5:$H$197,"agriculture and mining")</f>
        <v>0</v>
      </c>
      <c r="N23" s="59">
        <f>SUM(C23:M23)</f>
        <v>3</v>
      </c>
    </row>
    <row r="24" spans="2:14" ht="17" thickBot="1" x14ac:dyDescent="0.25">
      <c r="B24" s="51" t="s">
        <v>361</v>
      </c>
      <c r="C24" s="39">
        <f>COUNTIFS('SOTA full paper filtered'!$C$5:$C$197,"2007",'SOTA full paper filtered'!$H$5:$H$197,"building and transportation")</f>
        <v>2</v>
      </c>
      <c r="D24" s="39">
        <f>COUNTIFS('SOTA full paper filtered'!$C$5:$C$197,"2008",'SOTA full paper filtered'!$H$5:$H$197,"building and transportation")</f>
        <v>1</v>
      </c>
      <c r="E24" s="39">
        <f>COUNTIFS('SOTA full paper filtered'!$C$5:$C$197,"2009",'SOTA full paper filtered'!$H$5:$H$197,"building and transportation")</f>
        <v>1</v>
      </c>
      <c r="F24" s="39">
        <f>COUNTIFS('SOTA full paper filtered'!$C$5:$C$197,"2010",'SOTA full paper filtered'!$H$5:$H$197,"building and transportation")</f>
        <v>1</v>
      </c>
      <c r="G24" s="39">
        <f>COUNTIFS('SOTA full paper filtered'!$C$5:$C$197,"2011",'SOTA full paper filtered'!$H$5:$H$197,"building and transportation")</f>
        <v>2</v>
      </c>
      <c r="H24" s="39">
        <f>COUNTIFS('SOTA full paper filtered'!$C$5:$C$197,"2012",'SOTA full paper filtered'!$H$5:$H$197,"building and transportation")</f>
        <v>4</v>
      </c>
      <c r="I24" s="39">
        <f>COUNTIFS('SOTA full paper filtered'!$C$5:$C$197,"2013",'SOTA full paper filtered'!$H$5:$H$197,"building and transportation")</f>
        <v>1</v>
      </c>
      <c r="J24" s="39">
        <f>COUNTIFS('SOTA full paper filtered'!$C$5:$C$197,"2014",'SOTA full paper filtered'!$H$5:$H$197,"building and transportation")</f>
        <v>1</v>
      </c>
      <c r="K24" s="39">
        <f>COUNTIFS('SOTA full paper filtered'!$C$5:$C$197,"2015",'SOTA full paper filtered'!$H$5:$H$197,"building and transportation")</f>
        <v>5</v>
      </c>
      <c r="L24" s="39">
        <f>COUNTIFS('SOTA full paper filtered'!$C$5:$C$197,"2016",'SOTA full paper filtered'!$H$5:$H$197,"building and transportation")</f>
        <v>2</v>
      </c>
      <c r="M24" s="39">
        <f>COUNTIFS('SOTA full paper filtered'!$C$5:$C$197,"2017",'SOTA full paper filtered'!$H$5:$H$197,"building and transportation")</f>
        <v>0</v>
      </c>
      <c r="N24" s="59">
        <f>SUM(C24:M24)</f>
        <v>20</v>
      </c>
    </row>
    <row r="25" spans="2:14" ht="17" thickBot="1" x14ac:dyDescent="0.25">
      <c r="B25" s="54" t="s">
        <v>462</v>
      </c>
      <c r="C25" s="39">
        <f>COUNTIFS('SOTA full paper filtered'!$C$5:$C$197,"2007",'SOTA full paper filtered'!$H$5:$H$197,"Commodities and consumer products")</f>
        <v>3</v>
      </c>
      <c r="D25" s="39">
        <f>COUNTIFS('SOTA full paper filtered'!$C$5:$C$197,"2008",'SOTA full paper filtered'!$H$5:$H$197,"Commodities and consumer products")</f>
        <v>1</v>
      </c>
      <c r="E25" s="39">
        <f>COUNTIFS('SOTA full paper filtered'!$C$5:$C$197,"2009",'SOTA full paper filtered'!$H$5:$H$197,"Commodities and consumer products")</f>
        <v>1</v>
      </c>
      <c r="F25" s="39">
        <f>COUNTIFS('SOTA full paper filtered'!$C$5:$C$197,"2010",'SOTA full paper filtered'!$H$5:$H$197,"Commodities and consumer products")</f>
        <v>1</v>
      </c>
      <c r="G25" s="39">
        <f>COUNTIFS('SOTA full paper filtered'!$C$5:$C$197,"2011",'SOTA full paper filtered'!$H$5:$H$197,"Commodities and consumer products")</f>
        <v>6</v>
      </c>
      <c r="H25" s="39">
        <f>COUNTIFS('SOTA full paper filtered'!$C$5:$C$197,"2012",'SOTA full paper filtered'!$H$5:$H$197,"Commodities and consumer products")</f>
        <v>3</v>
      </c>
      <c r="I25" s="39">
        <f>COUNTIFS('SOTA full paper filtered'!$C$5:$C$197,"2013",'SOTA full paper filtered'!$H$5:$H$197,"Commodities and consumer products")</f>
        <v>2</v>
      </c>
      <c r="J25" s="39">
        <f>COUNTIFS('SOTA full paper filtered'!$C$5:$C$197,"2014",'SOTA full paper filtered'!$H$5:$H$197,"Commodities and consumer products")</f>
        <v>7</v>
      </c>
      <c r="K25" s="39">
        <f>COUNTIFS('SOTA full paper filtered'!$C$5:$C$197,"2015",'SOTA full paper filtered'!$H$5:$H$197,"Commodities and consumer products")</f>
        <v>9</v>
      </c>
      <c r="L25" s="39">
        <f>COUNTIFS('SOTA full paper filtered'!$C$5:$C$197,"2016",'SOTA full paper filtered'!$H$5:$H$197,"Commodities and consumer products")</f>
        <v>7</v>
      </c>
      <c r="M25" s="39">
        <f>COUNTIFS('SOTA full paper filtered'!$C$5:$C$197,"2017",'SOTA full paper filtered'!$H$5:$H$197,"Commodities and consumer products")</f>
        <v>3</v>
      </c>
      <c r="N25" s="59">
        <f t="shared" si="2"/>
        <v>43</v>
      </c>
    </row>
    <row r="26" spans="2:14" ht="17" thickBot="1" x14ac:dyDescent="0.25">
      <c r="B26" s="55" t="s">
        <v>404</v>
      </c>
      <c r="C26" s="39">
        <f>COUNTIFS('SOTA full paper filtered'!$C$5:$C$197,"2007",'SOTA full paper filtered'!$H$5:$H$197,"Automotive and machineries")</f>
        <v>1</v>
      </c>
      <c r="D26" s="39">
        <f>COUNTIFS('SOTA full paper filtered'!$C$5:$C$197,"2008",'SOTA full paper filtered'!$H$5:$H$197,"Automotive and machineries")</f>
        <v>1</v>
      </c>
      <c r="E26" s="39">
        <f>COUNTIFS('SOTA full paper filtered'!$C$5:$C$197,"2009",'SOTA full paper filtered'!$H$5:$H$197,"Automotive and machineries")</f>
        <v>0</v>
      </c>
      <c r="F26" s="39">
        <f>COUNTIFS('SOTA full paper filtered'!$C$5:$C$197,"2010",'SOTA full paper filtered'!$H$5:$H$197,"Automotive and machineries")</f>
        <v>2</v>
      </c>
      <c r="G26" s="39">
        <f>COUNTIFS('SOTA full paper filtered'!$C$5:$C$197,"2011",'SOTA full paper filtered'!$H$5:$H$197,"Automotive and machineries")</f>
        <v>6</v>
      </c>
      <c r="H26" s="39">
        <f>COUNTIFS('SOTA full paper filtered'!$C$5:$C$197,"2012",'SOTA full paper filtered'!$H$5:$H$197,"Automotive and machineries")</f>
        <v>1</v>
      </c>
      <c r="I26" s="39">
        <f>COUNTIFS('SOTA full paper filtered'!$C$5:$C$197,"2013",'SOTA full paper filtered'!$H$5:$H$197,"Automotive and machineries")</f>
        <v>9</v>
      </c>
      <c r="J26" s="39">
        <f>COUNTIFS('SOTA full paper filtered'!$C$5:$C$197,"2014",'SOTA full paper filtered'!$H$5:$H$197,"Automotive and machineries")</f>
        <v>7</v>
      </c>
      <c r="K26" s="39">
        <f>COUNTIFS('SOTA full paper filtered'!$C$5:$C$197,"2015",'SOTA full paper filtered'!$H$5:$H$197,"Automotive and machineries")</f>
        <v>7</v>
      </c>
      <c r="L26" s="39">
        <f>COUNTIFS('SOTA full paper filtered'!$C$5:$C$197,"2016",'SOTA full paper filtered'!$H$5:$H$197,"Automotive and machineries")</f>
        <v>12</v>
      </c>
      <c r="M26" s="39">
        <f>COUNTIFS('SOTA full paper filtered'!$C$5:$C$197,"2017",'SOTA full paper filtered'!$H$5:$H$197,"Automotive and machineries")</f>
        <v>2</v>
      </c>
      <c r="N26" s="59">
        <f t="shared" si="2"/>
        <v>48</v>
      </c>
    </row>
    <row r="27" spans="2:14" ht="17" thickBot="1" x14ac:dyDescent="0.25">
      <c r="B27" s="56" t="s">
        <v>164</v>
      </c>
      <c r="C27" s="39">
        <f>COUNTIFS('SOTA full paper filtered'!$C$5:$C$197,"2007",'SOTA full paper filtered'!$H$5:$H$197,"Advanced Engineering")</f>
        <v>0</v>
      </c>
      <c r="D27" s="39">
        <f>COUNTIFS('SOTA full paper filtered'!$C$5:$C$197,"2008",'SOTA full paper filtered'!$H$5:$H$197,"Advanced Engineering")</f>
        <v>0</v>
      </c>
      <c r="E27" s="39">
        <f>COUNTIFS('SOTA full paper filtered'!$C$5:$C$197,"2009",'SOTA full paper filtered'!$H$5:$H$197,"Advanced Engineering")</f>
        <v>1</v>
      </c>
      <c r="F27" s="39">
        <f>COUNTIFS('SOTA full paper filtered'!$C$5:$C$197,"2010",'SOTA full paper filtered'!$H$5:$H$197,"Advanced Engineering")</f>
        <v>0</v>
      </c>
      <c r="G27" s="39">
        <f>COUNTIFS('SOTA full paper filtered'!$C$5:$C$197,"2011",'SOTA full paper filtered'!$H$5:$H$197,"Advanced Engineering")</f>
        <v>0</v>
      </c>
      <c r="H27" s="39">
        <f>COUNTIFS('SOTA full paper filtered'!$C$5:$C$197,"2012",'SOTA full paper filtered'!$H$5:$H$197,"Advanced Engineering")</f>
        <v>0</v>
      </c>
      <c r="I27" s="39">
        <f>COUNTIFS('SOTA full paper filtered'!$C$5:$C$197,"2013",'SOTA full paper filtered'!$H$5:$H$197,"Advanced Engineering")</f>
        <v>0</v>
      </c>
      <c r="J27" s="39">
        <f>COUNTIFS('SOTA full paper filtered'!$C$5:$C$197,"2014",'SOTA full paper filtered'!$H$5:$H$197,"Advanced Engineering")</f>
        <v>1</v>
      </c>
      <c r="K27" s="39">
        <f>COUNTIFS('SOTA full paper filtered'!$C$5:$C$197,"2015",'SOTA full paper filtered'!$H$5:$H$197,"Advanced Engineering")</f>
        <v>1</v>
      </c>
      <c r="L27" s="39">
        <f>COUNTIFS('SOTA full paper filtered'!$C$5:$C$197,"2016",'SOTA full paper filtered'!$H$5:$H$197,"Advanced Engineering")</f>
        <v>0</v>
      </c>
      <c r="M27" s="39">
        <f>COUNTIFS('SOTA full paper filtered'!$C$5:$C$197,"2017",'SOTA full paper filtered'!$H$5:$H$197,"Advanced Engineering")</f>
        <v>0</v>
      </c>
      <c r="N27" s="59">
        <f t="shared" si="2"/>
        <v>3</v>
      </c>
    </row>
    <row r="28" spans="2:14" ht="17" thickBot="1" x14ac:dyDescent="0.25">
      <c r="C28" s="59">
        <f>SUM(C22:C27)</f>
        <v>8</v>
      </c>
      <c r="D28" s="59">
        <f t="shared" ref="D28:M28" si="3">SUM(D22:D27)</f>
        <v>5</v>
      </c>
      <c r="E28" s="59">
        <f t="shared" si="3"/>
        <v>8</v>
      </c>
      <c r="F28" s="59">
        <f t="shared" si="3"/>
        <v>5</v>
      </c>
      <c r="G28" s="59">
        <f t="shared" si="3"/>
        <v>18</v>
      </c>
      <c r="H28" s="59">
        <f t="shared" si="3"/>
        <v>24</v>
      </c>
      <c r="I28" s="59">
        <f t="shared" si="3"/>
        <v>20</v>
      </c>
      <c r="J28" s="59">
        <f t="shared" si="3"/>
        <v>25</v>
      </c>
      <c r="K28" s="59">
        <f t="shared" si="3"/>
        <v>33</v>
      </c>
      <c r="L28" s="59">
        <f t="shared" si="3"/>
        <v>36</v>
      </c>
      <c r="M28" s="59">
        <f t="shared" si="3"/>
        <v>11</v>
      </c>
      <c r="N28" s="2">
        <f>SUM(N22:N27)</f>
        <v>193</v>
      </c>
    </row>
    <row r="33" spans="2:14" ht="19" x14ac:dyDescent="0.25">
      <c r="B33" s="143" t="s">
        <v>491</v>
      </c>
    </row>
    <row r="34" spans="2:14" ht="17" thickBot="1" x14ac:dyDescent="0.25">
      <c r="C34" s="59">
        <v>2007</v>
      </c>
      <c r="D34" s="59">
        <v>2008</v>
      </c>
      <c r="E34" s="59">
        <v>2009</v>
      </c>
      <c r="F34" s="59">
        <v>2010</v>
      </c>
      <c r="G34" s="59">
        <v>2011</v>
      </c>
      <c r="H34" s="59">
        <v>2012</v>
      </c>
      <c r="I34" s="59">
        <v>2013</v>
      </c>
      <c r="J34" s="59">
        <v>2014</v>
      </c>
      <c r="K34" s="59">
        <v>2015</v>
      </c>
      <c r="L34" s="59">
        <v>2016</v>
      </c>
      <c r="M34" s="59">
        <v>2017</v>
      </c>
    </row>
    <row r="35" spans="2:14" ht="17" thickBot="1" x14ac:dyDescent="0.25">
      <c r="B35" s="39" t="s">
        <v>456</v>
      </c>
      <c r="C35" s="39">
        <f>COUNTIFS('SOTA full paper filtered'!$C$5:$C$197,"2007",'SOTA full paper filtered'!$G$5:$G$197,"Company")</f>
        <v>1</v>
      </c>
      <c r="D35" s="39">
        <f>COUNTIFS('SOTA full paper filtered'!$C$5:$C$197,"2008",'SOTA full paper filtered'!$G$5:$G$197,"Company")</f>
        <v>1</v>
      </c>
      <c r="E35" s="39">
        <f>COUNTIFS('SOTA full paper filtered'!$C$5:$C$197,"2009",'SOTA full paper filtered'!$G$5:$G$197,"Company")</f>
        <v>3</v>
      </c>
      <c r="F35" s="39">
        <f>COUNTIFS('SOTA full paper filtered'!$C$5:$C$197,"2010",'SOTA full paper filtered'!$G$5:$G$197,"Company")</f>
        <v>2</v>
      </c>
      <c r="G35" s="39">
        <f>COUNTIFS('SOTA full paper filtered'!$C$5:$C$197,"2011",'SOTA full paper filtered'!$G$5:$G$197,"Company")</f>
        <v>3</v>
      </c>
      <c r="H35" s="39">
        <f>COUNTIFS('SOTA full paper filtered'!$C$5:$C$197,"2012",'SOTA full paper filtered'!$G$5:$G$197,"Company")</f>
        <v>11</v>
      </c>
      <c r="I35" s="39">
        <f>COUNTIFS('SOTA full paper filtered'!$C$5:$C$197,"2013",'SOTA full paper filtered'!$G$5:$G$197,"Company")</f>
        <v>6</v>
      </c>
      <c r="J35" s="39">
        <f>COUNTIFS('SOTA full paper filtered'!$C$5:$C$197,"2014",'SOTA full paper filtered'!$G$5:$G$197,"Company")</f>
        <v>6</v>
      </c>
      <c r="K35" s="39">
        <f>COUNTIFS('SOTA full paper filtered'!$C$5:$C$197,"2015",'SOTA full paper filtered'!$G$5:$G$197,"Company")</f>
        <v>8</v>
      </c>
      <c r="L35" s="39">
        <f>COUNTIFS('SOTA full paper filtered'!$C$5:$C$197,"2016",'SOTA full paper filtered'!$G$5:$G$197,"Company")</f>
        <v>10</v>
      </c>
      <c r="M35" s="39">
        <f>COUNTIFS('SOTA full paper filtered'!$C$5:$C$197,"2017",'SOTA full paper filtered'!$G$5:$G$197,"Company")</f>
        <v>3</v>
      </c>
      <c r="N35" s="59">
        <f t="shared" ref="N35:N40" si="4">SUM(C35:M35)</f>
        <v>54</v>
      </c>
    </row>
    <row r="36" spans="2:14" ht="17" thickBot="1" x14ac:dyDescent="0.25">
      <c r="B36" s="48" t="s">
        <v>457</v>
      </c>
      <c r="C36" s="39">
        <f>COUNTIFS('SOTA full paper filtered'!$C$5:$C$197,"2007",'SOTA full paper filtered'!$G$5:$G$197,"Projects")</f>
        <v>2</v>
      </c>
      <c r="D36" s="39">
        <f>COUNTIFS('SOTA full paper filtered'!$C$5:$C$197,"2008",'SOTA full paper filtered'!$G$5:$G$197,"Projects")</f>
        <v>1</v>
      </c>
      <c r="E36" s="39">
        <f>COUNTIFS('SOTA full paper filtered'!$C$5:$C$197,"2009",'SOTA full paper filtered'!$G$5:$G$197,"Projects")</f>
        <v>2</v>
      </c>
      <c r="F36" s="39">
        <f>COUNTIFS('SOTA full paper filtered'!$C$5:$C$197,"2010",'SOTA full paper filtered'!$G$5:$G$197,"Projects")</f>
        <v>1</v>
      </c>
      <c r="G36" s="39">
        <f>COUNTIFS('SOTA full paper filtered'!$C$5:$C$197,"2011",'SOTA full paper filtered'!$G$5:$G$197,"Projects")</f>
        <v>0</v>
      </c>
      <c r="H36" s="39">
        <f>COUNTIFS('SOTA full paper filtered'!$C$5:$C$197,"2012",'SOTA full paper filtered'!$G$5:$G$197,"Projects")</f>
        <v>2</v>
      </c>
      <c r="I36" s="39">
        <f>COUNTIFS('SOTA full paper filtered'!$C$5:$C$197,"2013",'SOTA full paper filtered'!$G$5:$G$197,"Projects")</f>
        <v>0</v>
      </c>
      <c r="J36" s="39">
        <f>COUNTIFS('SOTA full paper filtered'!$C$5:$C$197,"2014",'SOTA full paper filtered'!$G$5:$G$197,"Projects")</f>
        <v>1</v>
      </c>
      <c r="K36" s="39">
        <f>COUNTIFS('SOTA full paper filtered'!$C$5:$C$197,"2015",'SOTA full paper filtered'!$G$5:$G$197,"Projects")</f>
        <v>2</v>
      </c>
      <c r="L36" s="39">
        <f>COUNTIFS('SOTA full paper filtered'!$C$5:$C$197,"2016",'SOTA full paper filtered'!$G$5:$G$197,"Projects")</f>
        <v>2</v>
      </c>
      <c r="M36" s="39">
        <f>COUNTIFS('SOTA full paper filtered'!$C$5:$C$197,"2017",'SOTA full paper filtered'!$G$5:$G$197,"Projects")</f>
        <v>0</v>
      </c>
      <c r="N36" s="59">
        <f t="shared" si="4"/>
        <v>13</v>
      </c>
    </row>
    <row r="37" spans="2:14" ht="17" thickBot="1" x14ac:dyDescent="0.25">
      <c r="B37" s="47" t="s">
        <v>458</v>
      </c>
      <c r="C37" s="39">
        <f>COUNTIFS('SOTA full paper filtered'!$C$5:$C$197,"2007",'SOTA full paper filtered'!$G$5:$G$197,"Processes and assets")</f>
        <v>1</v>
      </c>
      <c r="D37" s="39">
        <f>COUNTIFS('SOTA full paper filtered'!$C$5:$C$197,"2008",'SOTA full paper filtered'!$G$5:$G$197,"Processes and assets")</f>
        <v>0</v>
      </c>
      <c r="E37" s="39">
        <f>COUNTIFS('SOTA full paper filtered'!$C$5:$C$197,"2009",'SOTA full paper filtered'!$G$5:$G$197,"Processes and assets")</f>
        <v>0</v>
      </c>
      <c r="F37" s="39">
        <f>COUNTIFS('SOTA full paper filtered'!$C$5:$C$197,"2010",'SOTA full paper filtered'!$G$5:$G$197,"Processes and assets")</f>
        <v>1</v>
      </c>
      <c r="G37" s="39">
        <f>COUNTIFS('SOTA full paper filtered'!$C$5:$C$197,"2011",'SOTA full paper filtered'!$G$5:$G$197,"Processes and assets")</f>
        <v>0</v>
      </c>
      <c r="H37" s="39">
        <f>COUNTIFS('SOTA full paper filtered'!$C$5:$C$197,"2012",'SOTA full paper filtered'!$G$5:$G$197,"Processes and assets")</f>
        <v>1</v>
      </c>
      <c r="I37" s="39">
        <f>COUNTIFS('SOTA full paper filtered'!$C$5:$C$197,"2013",'SOTA full paper filtered'!$G$5:$G$197,"Processes and assets")</f>
        <v>0</v>
      </c>
      <c r="J37" s="39">
        <f>COUNTIFS('SOTA full paper filtered'!$C$5:$C$197,"2014",'SOTA full paper filtered'!$G$5:$G$197,"Processes and assets")</f>
        <v>3</v>
      </c>
      <c r="K37" s="39">
        <f>COUNTIFS('SOTA full paper filtered'!$C$5:$C$197,"2015",'SOTA full paper filtered'!$G$5:$G$197,"Processes and assets")</f>
        <v>1</v>
      </c>
      <c r="L37" s="39">
        <f>COUNTIFS('SOTA full paper filtered'!$C$5:$C$197,"2016",'SOTA full paper filtered'!$G$5:$G$197,"Processes and assets")</f>
        <v>5</v>
      </c>
      <c r="M37" s="39">
        <f>COUNTIFS('SOTA full paper filtered'!$C$5:$C$197,"2017",'SOTA full paper filtered'!$G$5:$G$197,"Processes and assets")</f>
        <v>0</v>
      </c>
      <c r="N37" s="59">
        <f t="shared" si="4"/>
        <v>12</v>
      </c>
    </row>
    <row r="38" spans="2:14" ht="17" thickBot="1" x14ac:dyDescent="0.25">
      <c r="B38" s="46" t="s">
        <v>459</v>
      </c>
      <c r="C38" s="39">
        <f>COUNTIFS('SOTA full paper filtered'!$C$5:$C$197,"2007",'SOTA full paper filtered'!$G$5:$G$197,"Services and PSS")</f>
        <v>1</v>
      </c>
      <c r="D38" s="39">
        <f>COUNTIFS('SOTA full paper filtered'!$C$5:$C$197,"2008",'SOTA full paper filtered'!$G$5:$G$197,"Services and PSS")</f>
        <v>0</v>
      </c>
      <c r="E38" s="39">
        <f>COUNTIFS('SOTA full paper filtered'!$C$5:$C$197,"2009",'SOTA full paper filtered'!$G$5:$G$197,"Services and PSS")</f>
        <v>1</v>
      </c>
      <c r="F38" s="39">
        <f>COUNTIFS('SOTA full paper filtered'!$C$5:$C$197,"2010",'SOTA full paper filtered'!$G$5:$G$197,"Services and PSS")</f>
        <v>0</v>
      </c>
      <c r="G38" s="39">
        <f>COUNTIFS('SOTA full paper filtered'!$C$5:$C$197,"2011",'SOTA full paper filtered'!$G$5:$G$197,"Services and PSS")</f>
        <v>1</v>
      </c>
      <c r="H38" s="39">
        <f>COUNTIFS('SOTA full paper filtered'!$C$5:$C$197,"2012",'SOTA full paper filtered'!$G$5:$G$197,"Services and PSS")</f>
        <v>1</v>
      </c>
      <c r="I38" s="39">
        <f>COUNTIFS('SOTA full paper filtered'!$C$5:$C$197,"2013",'SOTA full paper filtered'!$G$5:$G$197,"Services and PSS")</f>
        <v>4</v>
      </c>
      <c r="J38" s="39">
        <f>COUNTIFS('SOTA full paper filtered'!$C$5:$C$197,"2014",'SOTA full paper filtered'!$G$5:$G$197,"Services and PSS")</f>
        <v>2</v>
      </c>
      <c r="K38" s="39">
        <f>COUNTIFS('SOTA full paper filtered'!$C$5:$C$197,"2015",'SOTA full paper filtered'!$G$5:$G$197,"Services and PSS")</f>
        <v>7</v>
      </c>
      <c r="L38" s="39">
        <f>COUNTIFS('SOTA full paper filtered'!$C$5:$C$197,"2016",'SOTA full paper filtered'!$G$5:$G$197,"Services and PSS")</f>
        <v>1</v>
      </c>
      <c r="M38" s="39">
        <f>COUNTIFS('SOTA full paper filtered'!$C$5:$C$197,"2017",'SOTA full paper filtered'!$G$5:$G$197,"Services and PSS")</f>
        <v>2</v>
      </c>
      <c r="N38" s="59">
        <f t="shared" si="4"/>
        <v>20</v>
      </c>
    </row>
    <row r="39" spans="2:14" ht="17" thickBot="1" x14ac:dyDescent="0.25">
      <c r="B39" s="45" t="s">
        <v>460</v>
      </c>
      <c r="C39" s="39">
        <f>COUNTIFS('SOTA full paper filtered'!$C$5:$C$197,"2007",'SOTA full paper filtered'!$G$5:$G$197,"Products")</f>
        <v>3</v>
      </c>
      <c r="D39" s="39">
        <f>COUNTIFS('SOTA full paper filtered'!$C$5:$C$197,"2008",'SOTA full paper filtered'!$G$5:$G$197,"Products")</f>
        <v>3</v>
      </c>
      <c r="E39" s="39">
        <f>COUNTIFS('SOTA full paper filtered'!$C$5:$C$197,"2009",'SOTA full paper filtered'!$G$5:$G$197,"Products")</f>
        <v>2</v>
      </c>
      <c r="F39" s="39">
        <f>COUNTIFS('SOTA full paper filtered'!$C$5:$C$197,"2010",'SOTA full paper filtered'!$G$5:$G$197,"Products")</f>
        <v>1</v>
      </c>
      <c r="G39" s="39">
        <f>COUNTIFS('SOTA full paper filtered'!$C$5:$C$197,"2011",'SOTA full paper filtered'!$G$5:$G$197,"Products")</f>
        <v>12</v>
      </c>
      <c r="H39" s="39">
        <f>COUNTIFS('SOTA full paper filtered'!$C$5:$C$197,"2012",'SOTA full paper filtered'!$G$5:$G$197,"Products")</f>
        <v>6</v>
      </c>
      <c r="I39" s="39">
        <f>COUNTIFS('SOTA full paper filtered'!$C$5:$C$197,"2013",'SOTA full paper filtered'!$G$5:$G$197,"Products")</f>
        <v>8</v>
      </c>
      <c r="J39" s="39">
        <f>COUNTIFS('SOTA full paper filtered'!$C$5:$C$197,"2014",'SOTA full paper filtered'!$G$5:$G$197,"Products")</f>
        <v>10</v>
      </c>
      <c r="K39" s="39">
        <f>COUNTIFS('SOTA full paper filtered'!$C$5:$C$197,"2015",'SOTA full paper filtered'!$G$5:$G$197,"Products")</f>
        <v>13</v>
      </c>
      <c r="L39" s="39">
        <f>COUNTIFS('SOTA full paper filtered'!$C$5:$C$197,"2016",'SOTA full paper filtered'!$G$5:$G$197,"Products")</f>
        <v>18</v>
      </c>
      <c r="M39" s="39">
        <f>COUNTIFS('SOTA full paper filtered'!$C$5:$C$197,"2017",'SOTA full paper filtered'!$G$5:$G$197,"Products")</f>
        <v>6</v>
      </c>
      <c r="N39" s="59">
        <f t="shared" si="4"/>
        <v>82</v>
      </c>
    </row>
    <row r="40" spans="2:14" ht="17" thickBot="1" x14ac:dyDescent="0.25">
      <c r="B40" s="44" t="s">
        <v>461</v>
      </c>
      <c r="C40" s="39">
        <f>COUNTIFS('SOTA full paper filtered'!$C$5:$C$197,"2007",'SOTA full paper filtered'!$G$5:$G$197,"materials")</f>
        <v>0</v>
      </c>
      <c r="D40" s="39">
        <f>COUNTIFS('SOTA full paper filtered'!$C$5:$C$197,"2008",'SOTA full paper filtered'!$G$5:$G$197,"materials")</f>
        <v>0</v>
      </c>
      <c r="E40" s="39">
        <f>COUNTIFS('SOTA full paper filtered'!$C$5:$C$197,"2009",'SOTA full paper filtered'!$G$5:$G$197,"materials")</f>
        <v>0</v>
      </c>
      <c r="F40" s="39">
        <f>COUNTIFS('SOTA full paper filtered'!$C$5:$C$197,"2010",'SOTA full paper filtered'!$G$5:$G$197,"materials")</f>
        <v>0</v>
      </c>
      <c r="G40" s="39">
        <f>COUNTIFS('SOTA full paper filtered'!$C$5:$C$197,"2011",'SOTA full paper filtered'!$G$5:$G$197,"materials")</f>
        <v>2</v>
      </c>
      <c r="H40" s="39">
        <f>COUNTIFS('SOTA full paper filtered'!$C$5:$C$197,"2012",'SOTA full paper filtered'!$G$5:$G$197,"materials")</f>
        <v>3</v>
      </c>
      <c r="I40" s="39">
        <f>COUNTIFS('SOTA full paper filtered'!$C$5:$C$197,"2013",'SOTA full paper filtered'!$G$5:$G$197,"materials")</f>
        <v>2</v>
      </c>
      <c r="J40" s="39">
        <f>COUNTIFS('SOTA full paper filtered'!$C$5:$C$197,"2014",'SOTA full paper filtered'!$G$5:$G$197,"materials")</f>
        <v>3</v>
      </c>
      <c r="K40" s="39">
        <f>COUNTIFS('SOTA full paper filtered'!$C$5:$C$197,"2015",'SOTA full paper filtered'!$G$5:$G$197,"materials")</f>
        <v>2</v>
      </c>
      <c r="L40" s="39">
        <f>COUNTIFS('SOTA full paper filtered'!$C$5:$C$197,"2016",'SOTA full paper filtered'!$G$5:$G$197,"materials")</f>
        <v>0</v>
      </c>
      <c r="M40" s="39">
        <f>COUNTIFS('SOTA full paper filtered'!$C$5:$C$197,"2017",'SOTA full paper filtered'!$G$5:$G$197,"materials")</f>
        <v>0</v>
      </c>
      <c r="N40" s="59">
        <f t="shared" si="4"/>
        <v>12</v>
      </c>
    </row>
    <row r="41" spans="2:14" ht="17" thickBot="1" x14ac:dyDescent="0.25">
      <c r="C41" s="59">
        <f>SUM(C35:C40)</f>
        <v>8</v>
      </c>
      <c r="D41" s="59">
        <f t="shared" ref="D41:M41" si="5">SUM(D35:D40)</f>
        <v>5</v>
      </c>
      <c r="E41" s="59">
        <f t="shared" si="5"/>
        <v>8</v>
      </c>
      <c r="F41" s="59">
        <f t="shared" si="5"/>
        <v>5</v>
      </c>
      <c r="G41" s="59">
        <f t="shared" si="5"/>
        <v>18</v>
      </c>
      <c r="H41" s="59">
        <f t="shared" si="5"/>
        <v>24</v>
      </c>
      <c r="I41" s="59">
        <f t="shared" si="5"/>
        <v>20</v>
      </c>
      <c r="J41" s="59">
        <f t="shared" si="5"/>
        <v>25</v>
      </c>
      <c r="K41" s="59">
        <f t="shared" si="5"/>
        <v>33</v>
      </c>
      <c r="L41" s="59">
        <f t="shared" si="5"/>
        <v>36</v>
      </c>
      <c r="M41" s="59">
        <f t="shared" si="5"/>
        <v>11</v>
      </c>
      <c r="N41" s="2">
        <f>SUM(N35:N40)</f>
        <v>193</v>
      </c>
    </row>
    <row r="48" spans="2:14" ht="17" thickBot="1" x14ac:dyDescent="0.25">
      <c r="C48" s="59">
        <v>2007</v>
      </c>
      <c r="D48" s="59">
        <v>2008</v>
      </c>
      <c r="E48" s="59">
        <v>2009</v>
      </c>
      <c r="F48" s="59">
        <v>2010</v>
      </c>
      <c r="G48" s="59">
        <v>2011</v>
      </c>
      <c r="H48" s="59">
        <v>2012</v>
      </c>
      <c r="I48" s="59">
        <v>2013</v>
      </c>
      <c r="J48" s="59">
        <v>2014</v>
      </c>
      <c r="K48" s="59">
        <v>2015</v>
      </c>
      <c r="L48" s="59">
        <v>2016</v>
      </c>
      <c r="M48" s="59">
        <v>2017</v>
      </c>
    </row>
    <row r="49" spans="2:14" ht="17" thickBot="1" x14ac:dyDescent="0.25">
      <c r="B49" s="60" t="s">
        <v>165</v>
      </c>
      <c r="C49" s="39">
        <f>COUNTIFS('SOTA full paper filtered'!$C$5:$C$197,"2007",'SOTA full paper filtered'!$F$5:$F$197,"review/themes")</f>
        <v>0</v>
      </c>
      <c r="D49" s="39">
        <f>COUNTIFS('SOTA full paper filtered'!$C$5:$C$197,"2008",'SOTA full paper filtered'!$F$5:$F$197,"review/themes")</f>
        <v>1</v>
      </c>
      <c r="E49" s="39">
        <f>COUNTIFS('SOTA full paper filtered'!$C$5:$C$197,"2009",'SOTA full paper filtered'!$F$5:$F$197,"review/themes")</f>
        <v>2</v>
      </c>
      <c r="F49" s="39">
        <f>COUNTIFS('SOTA full paper filtered'!$C$5:$C$197,"2010",'SOTA full paper filtered'!$F$5:$F$197,"review/themes")</f>
        <v>1</v>
      </c>
      <c r="G49" s="39">
        <f>COUNTIFS('SOTA full paper filtered'!$C$5:$C$197,"2011",'SOTA full paper filtered'!$F$5:$F$197,"review/themes")</f>
        <v>2</v>
      </c>
      <c r="H49" s="39">
        <f>COUNTIFS('SOTA full paper filtered'!$C$5:$C$197,"2012",'SOTA full paper filtered'!$F$5:$F$197,"review/themes")</f>
        <v>7</v>
      </c>
      <c r="I49" s="39">
        <f>COUNTIFS('SOTA full paper filtered'!$C$5:$C$197,"2013",'SOTA full paper filtered'!$F$5:$F$197,"review/themes")</f>
        <v>7</v>
      </c>
      <c r="J49" s="39">
        <f>COUNTIFS('SOTA full paper filtered'!$C$5:$C$197,"2014",'SOTA full paper filtered'!$F$5:$F$197,"review/themes")</f>
        <v>5</v>
      </c>
      <c r="K49" s="39">
        <f>COUNTIFS('SOTA full paper filtered'!$C$5:$C$197,"2015",'SOTA full paper filtered'!$F$5:$F$197,"review/themes")</f>
        <v>3</v>
      </c>
      <c r="L49" s="39">
        <f>COUNTIFS('SOTA full paper filtered'!$C$5:$C$197,"2016",'SOTA full paper filtered'!$F$5:$F$197,"review/themes")</f>
        <v>3</v>
      </c>
      <c r="M49" s="39">
        <f>COUNTIFS('SOTA full paper filtered'!$C$5:$C$197,"2017",'SOTA full paper filtered'!$F$5:$F$197,"review/themes")</f>
        <v>0</v>
      </c>
      <c r="N49" s="59">
        <f t="shared" ref="N49:N56" si="6">SUM(C49:M49)</f>
        <v>31</v>
      </c>
    </row>
    <row r="50" spans="2:14" ht="17" thickBot="1" x14ac:dyDescent="0.25">
      <c r="B50" s="59" t="s">
        <v>168</v>
      </c>
      <c r="C50" s="39">
        <f>COUNTIFS('SOTA full paper filtered'!$C$5:$C$197,"2007",'SOTA full paper filtered'!$F$5:$F$197,"ISO standard")</f>
        <v>1</v>
      </c>
      <c r="D50" s="39">
        <f>COUNTIFS('SOTA full paper filtered'!$C$5:$C$197,"2008",'SOTA full paper filtered'!$F$5:$F$197,"ISO standard")</f>
        <v>0</v>
      </c>
      <c r="E50" s="39">
        <f>COUNTIFS('SOTA full paper filtered'!$C$5:$C$197,"2009",'SOTA full paper filtered'!$F$5:$F$197,"ISO standard")</f>
        <v>0</v>
      </c>
      <c r="F50" s="39">
        <f>COUNTIFS('SOTA full paper filtered'!$C$5:$C$197,"2010",'SOTA full paper filtered'!$F$5:$F$197,"ISO standard")</f>
        <v>0</v>
      </c>
      <c r="G50" s="39">
        <f>COUNTIFS('SOTA full paper filtered'!$C$5:$C$197,"2011",'SOTA full paper filtered'!$F$5:$F$197,"ISO standard")</f>
        <v>0</v>
      </c>
      <c r="H50" s="39">
        <f>COUNTIFS('SOTA full paper filtered'!$C$5:$C$197,"2012",'SOTA full paper filtered'!$F$5:$F$197,"ISO standard")</f>
        <v>1</v>
      </c>
      <c r="I50" s="39">
        <f>COUNTIFS('SOTA full paper filtered'!$C$5:$C$197,"2013",'SOTA full paper filtered'!$F$5:$F$197,"ISO standard")</f>
        <v>1</v>
      </c>
      <c r="J50" s="39">
        <f>COUNTIFS('SOTA full paper filtered'!$C$5:$C$197,"2014",'SOTA full paper filtered'!$F$5:$F$197,"ISO standard")</f>
        <v>0</v>
      </c>
      <c r="K50" s="39">
        <f>COUNTIFS('SOTA full paper filtered'!$C$5:$C$197,"2015",'SOTA full paper filtered'!$F$5:$F$197,"ISO standard")</f>
        <v>0</v>
      </c>
      <c r="L50" s="39">
        <f>COUNTIFS('SOTA full paper filtered'!$C$5:$C$197,"2016",'SOTA full paper filtered'!$F$5:$F$197,"ISO standard")</f>
        <v>0</v>
      </c>
      <c r="M50" s="39">
        <f>COUNTIFS('SOTA full paper filtered'!$C$5:$C$197,"2017",'SOTA full paper filtered'!$F$5:$F$197,"ISO standard")</f>
        <v>0</v>
      </c>
      <c r="N50" s="59">
        <f t="shared" si="6"/>
        <v>3</v>
      </c>
    </row>
    <row r="51" spans="2:14" ht="17" thickBot="1" x14ac:dyDescent="0.25">
      <c r="B51" s="39" t="s">
        <v>161</v>
      </c>
      <c r="C51" s="39">
        <f>COUNTIFS('SOTA full paper filtered'!$C$5:$C$197,"2007",'SOTA full paper filtered'!$F$5:$F$197,"Survey/Experiment")</f>
        <v>0</v>
      </c>
      <c r="D51" s="39">
        <f>COUNTIFS('SOTA full paper filtered'!$C$5:$C$197,"2008",'SOTA full paper filtered'!$F$5:$F$197,"Survey/Experiment")</f>
        <v>1</v>
      </c>
      <c r="E51" s="39">
        <f>COUNTIFS('SOTA full paper filtered'!$C$5:$C$197,"2009",'SOTA full paper filtered'!$F$5:$F$197,"Survey/Experiment")</f>
        <v>1</v>
      </c>
      <c r="F51" s="39">
        <f>COUNTIFS('SOTA full paper filtered'!$C$5:$C$197,"2010",'SOTA full paper filtered'!$F$5:$F$197,"Survey/Experiment")</f>
        <v>1</v>
      </c>
      <c r="G51" s="39">
        <f>COUNTIFS('SOTA full paper filtered'!$C$5:$C$197,"2011",'SOTA full paper filtered'!$F$5:$F$197,"Survey/Experiment")</f>
        <v>4</v>
      </c>
      <c r="H51" s="39">
        <f>COUNTIFS('SOTA full paper filtered'!$C$5:$C$197,"2012",'SOTA full paper filtered'!$F$5:$F$197,"Survey/Experiment")</f>
        <v>5</v>
      </c>
      <c r="I51" s="39">
        <f>COUNTIFS('SOTA full paper filtered'!$C$5:$C$197,"2013",'SOTA full paper filtered'!$F$5:$F$197,"Survey/Experiment")</f>
        <v>2</v>
      </c>
      <c r="J51" s="39">
        <f>COUNTIFS('SOTA full paper filtered'!$C$5:$C$197,"2014",'SOTA full paper filtered'!$F$5:$F$197,"Survey/Experiment")</f>
        <v>5</v>
      </c>
      <c r="K51" s="39">
        <f>COUNTIFS('SOTA full paper filtered'!$C$5:$C$197,"2015",'SOTA full paper filtered'!$F$5:$F$197,"Survey/Experiment")</f>
        <v>4</v>
      </c>
      <c r="L51" s="39">
        <f>COUNTIFS('SOTA full paper filtered'!$C$5:$C$197,"2016",'SOTA full paper filtered'!$F$5:$F$197,"Survey/Experiment")</f>
        <v>6</v>
      </c>
      <c r="M51" s="39">
        <f>COUNTIFS('SOTA full paper filtered'!$C$5:$C$197,"2017",'SOTA full paper filtered'!$F$5:$F$197,"Survey/Experiment")</f>
        <v>4</v>
      </c>
      <c r="N51" s="59">
        <f t="shared" si="6"/>
        <v>33</v>
      </c>
    </row>
    <row r="52" spans="2:14" ht="17" thickBot="1" x14ac:dyDescent="0.25">
      <c r="B52" s="33" t="s">
        <v>166</v>
      </c>
      <c r="C52" s="39">
        <f>COUNTIFS('SOTA full paper filtered'!$C$5:$C$197,"2007",'SOTA full paper filtered'!$F$5:$F$197,"Framework/Roadmap")</f>
        <v>0</v>
      </c>
      <c r="D52" s="39">
        <f>COUNTIFS('SOTA full paper filtered'!$C$5:$C$197,"2008",'SOTA full paper filtered'!$F$5:$F$197,"Framework/Roadmap")</f>
        <v>1</v>
      </c>
      <c r="E52" s="39">
        <f>COUNTIFS('SOTA full paper filtered'!$C$5:$C$197,"2009",'SOTA full paper filtered'!$F$5:$F$197,"Framework/Roadmap")</f>
        <v>1</v>
      </c>
      <c r="F52" s="39">
        <f>COUNTIFS('SOTA full paper filtered'!$C$5:$C$197,"2010",'SOTA full paper filtered'!$F$5:$F$197,"Framework/Roadmap")</f>
        <v>0</v>
      </c>
      <c r="G52" s="39">
        <f>COUNTIFS('SOTA full paper filtered'!$C$5:$C$197,"2011",'SOTA full paper filtered'!$F$5:$F$197,"Framework/Roadmap")</f>
        <v>1</v>
      </c>
      <c r="H52" s="39">
        <f>COUNTIFS('SOTA full paper filtered'!$C$5:$C$197,"2012",'SOTA full paper filtered'!$F$5:$F$197,"Framework/Roadmap")</f>
        <v>3</v>
      </c>
      <c r="I52" s="39">
        <f>COUNTIFS('SOTA full paper filtered'!$C$5:$C$197,"2013",'SOTA full paper filtered'!$F$5:$F$197,"Framework/Roadmap")</f>
        <v>1</v>
      </c>
      <c r="J52" s="39">
        <f>COUNTIFS('SOTA full paper filtered'!$C$5:$C$197,"2014",'SOTA full paper filtered'!$F$5:$F$197,"Framework/Roadmap")</f>
        <v>3</v>
      </c>
      <c r="K52" s="39">
        <f>COUNTIFS('SOTA full paper filtered'!$C$5:$C$197,"2015",'SOTA full paper filtered'!$F$5:$F$197,"Framework/Roadmap")</f>
        <v>3</v>
      </c>
      <c r="L52" s="39">
        <f>COUNTIFS('SOTA full paper filtered'!$C$5:$C$197,"2016",'SOTA full paper filtered'!$F$5:$F$197,"Framework/Roadmap")</f>
        <v>7</v>
      </c>
      <c r="M52" s="39">
        <f>COUNTIFS('SOTA full paper filtered'!$C$5:$C$197,"2017",'SOTA full paper filtered'!$F$5:$F$197,"Framework/Roadmap")</f>
        <v>3</v>
      </c>
      <c r="N52" s="59">
        <f t="shared" si="6"/>
        <v>23</v>
      </c>
    </row>
    <row r="53" spans="2:14" ht="17" thickBot="1" x14ac:dyDescent="0.25">
      <c r="B53" s="34" t="s">
        <v>157</v>
      </c>
      <c r="C53" s="39">
        <f>COUNTIFS('SOTA full paper filtered'!$C$5:$C$197,"2007",'SOTA full paper filtered'!$F$5:$F$197,"Methodology")</f>
        <v>3</v>
      </c>
      <c r="D53" s="39">
        <f>COUNTIFS('SOTA full paper filtered'!$C$5:$C$197,"2008",'SOTA full paper filtered'!$F$5:$F$197,"Methodology")</f>
        <v>1</v>
      </c>
      <c r="E53" s="39">
        <f>COUNTIFS('SOTA full paper filtered'!$C$5:$C$197,"2009",'SOTA full paper filtered'!$F$5:$F$197,"Methodology")</f>
        <v>1</v>
      </c>
      <c r="F53" s="39">
        <f>COUNTIFS('SOTA full paper filtered'!$C$5:$C$197,"2010",'SOTA full paper filtered'!$F$5:$F$197,"Methodology")</f>
        <v>0</v>
      </c>
      <c r="G53" s="39">
        <f>COUNTIFS('SOTA full paper filtered'!$C$5:$C$197,"2011",'SOTA full paper filtered'!$F$5:$F$197,"Methodology")</f>
        <v>0</v>
      </c>
      <c r="H53" s="39">
        <f>COUNTIFS('SOTA full paper filtered'!$C$5:$C$197,"2012",'SOTA full paper filtered'!$F$5:$F$197,"Methodology")</f>
        <v>1</v>
      </c>
      <c r="I53" s="39">
        <f>COUNTIFS('SOTA full paper filtered'!$C$5:$C$197,"2013",'SOTA full paper filtered'!$F$5:$F$197,"Methodology")</f>
        <v>0</v>
      </c>
      <c r="J53" s="39">
        <f>COUNTIFS('SOTA full paper filtered'!$C$5:$C$197,"2014",'SOTA full paper filtered'!$F$5:$F$197,"Methodology")</f>
        <v>0</v>
      </c>
      <c r="K53" s="39">
        <f>COUNTIFS('SOTA full paper filtered'!$C$5:$C$197,"2015",'SOTA full paper filtered'!$F$5:$F$197,"Methodology")</f>
        <v>2</v>
      </c>
      <c r="L53" s="39">
        <f>COUNTIFS('SOTA full paper filtered'!$C$5:$C$197,"2016",'SOTA full paper filtered'!$F$5:$F$197,"Methodology")</f>
        <v>0</v>
      </c>
      <c r="M53" s="39">
        <f>COUNTIFS('SOTA full paper filtered'!$C$5:$C$197,"2017",'SOTA full paper filtered'!$F$5:$F$197,"Methodology")</f>
        <v>0</v>
      </c>
      <c r="N53" s="59">
        <f t="shared" si="6"/>
        <v>8</v>
      </c>
    </row>
    <row r="54" spans="2:14" ht="17" thickBot="1" x14ac:dyDescent="0.25">
      <c r="B54" s="35" t="s">
        <v>158</v>
      </c>
      <c r="C54" s="39">
        <f>COUNTIFS('SOTA full paper filtered'!$C$5:$C$197,"2007",'SOTA full paper filtered'!$F$5:$F$197,"indicator")</f>
        <v>1</v>
      </c>
      <c r="D54" s="39">
        <f>COUNTIFS('SOTA full paper filtered'!$C$5:$C$197,"2008",'SOTA full paper filtered'!$F$5:$F$197,"indicator")</f>
        <v>1</v>
      </c>
      <c r="E54" s="39">
        <f>COUNTIFS('SOTA full paper filtered'!$C$5:$C$197,"2009",'SOTA full paper filtered'!$F$5:$F$197,"indicator")</f>
        <v>1</v>
      </c>
      <c r="F54" s="39">
        <f>COUNTIFS('SOTA full paper filtered'!$C$5:$C$197,"2010",'SOTA full paper filtered'!$F$5:$F$197,"indicator")</f>
        <v>1</v>
      </c>
      <c r="G54" s="39">
        <f>COUNTIFS('SOTA full paper filtered'!$C$5:$C$197,"2011",'SOTA full paper filtered'!$F$5:$F$197,"indicator")</f>
        <v>1</v>
      </c>
      <c r="H54" s="39">
        <f>COUNTIFS('SOTA full paper filtered'!$C$5:$C$197,"2012",'SOTA full paper filtered'!$F$5:$F$197,"indicator")</f>
        <v>2</v>
      </c>
      <c r="I54" s="39">
        <f>COUNTIFS('SOTA full paper filtered'!$C$5:$C$197,"2013",'SOTA full paper filtered'!$F$5:$F$197,"indicator")</f>
        <v>3</v>
      </c>
      <c r="J54" s="39">
        <f>COUNTIFS('SOTA full paper filtered'!$C$5:$C$197,"2014",'SOTA full paper filtered'!$F$5:$F$197,"indicator")</f>
        <v>1</v>
      </c>
      <c r="K54" s="39">
        <f>COUNTIFS('SOTA full paper filtered'!$C$5:$C$197,"2015",'SOTA full paper filtered'!$F$5:$F$197,"indicator")</f>
        <v>3</v>
      </c>
      <c r="L54" s="39">
        <f>COUNTIFS('SOTA full paper filtered'!$C$5:$C$197,"2016",'SOTA full paper filtered'!$F$5:$F$197,"indicator")</f>
        <v>6</v>
      </c>
      <c r="M54" s="39">
        <f>COUNTIFS('SOTA full paper filtered'!$C$5:$C$197,"2017",'SOTA full paper filtered'!$F$5:$F$197,"indicator")</f>
        <v>0</v>
      </c>
      <c r="N54" s="59">
        <f t="shared" si="6"/>
        <v>20</v>
      </c>
    </row>
    <row r="55" spans="2:14" ht="17" thickBot="1" x14ac:dyDescent="0.25">
      <c r="B55" s="36" t="s">
        <v>160</v>
      </c>
      <c r="C55" s="39">
        <f>COUNTIFS('SOTA full paper filtered'!$C$5:$C$197,"2007",'SOTA full paper filtered'!$F$5:$F$197,"Model/Function")</f>
        <v>2</v>
      </c>
      <c r="D55" s="39">
        <f>COUNTIFS('SOTA full paper filtered'!$C$5:$C$197,"2008",'SOTA full paper filtered'!$F$5:$F$197,"Model/Function")</f>
        <v>0</v>
      </c>
      <c r="E55" s="39">
        <f>COUNTIFS('SOTA full paper filtered'!$C$5:$C$197,"2009",'SOTA full paper filtered'!$F$5:$F$197,"Model/Function")</f>
        <v>1</v>
      </c>
      <c r="F55" s="39">
        <f>COUNTIFS('SOTA full paper filtered'!$C$5:$C$197,"2010",'SOTA full paper filtered'!$F$5:$F$197,"Model/Function")</f>
        <v>2</v>
      </c>
      <c r="G55" s="39">
        <f>COUNTIFS('SOTA full paper filtered'!$C$5:$C$197,"2011",'SOTA full paper filtered'!$F$5:$F$197,"Model/Function")</f>
        <v>9</v>
      </c>
      <c r="H55" s="39">
        <f>COUNTIFS('SOTA full paper filtered'!$C$5:$C$197,"2012",'SOTA full paper filtered'!$F$5:$F$197,"Model/Function")</f>
        <v>3</v>
      </c>
      <c r="I55" s="39">
        <f>COUNTIFS('SOTA full paper filtered'!$C$5:$C$197,"2013",'SOTA full paper filtered'!$F$5:$F$197,"Model/Function")</f>
        <v>5</v>
      </c>
      <c r="J55" s="39">
        <f>COUNTIFS('SOTA full paper filtered'!$C$5:$C$197,"2014",'SOTA full paper filtered'!$F$5:$F$197,"Model/Function")</f>
        <v>10</v>
      </c>
      <c r="K55" s="39">
        <f>COUNTIFS('SOTA full paper filtered'!$C$5:$C$197,"2015",'SOTA full paper filtered'!$F$5:$F$197,"Model/Function")</f>
        <v>15</v>
      </c>
      <c r="L55" s="39">
        <f>COUNTIFS('SOTA full paper filtered'!$C$5:$C$197,"2016",'SOTA full paper filtered'!$F$5:$F$197,"Model/Function")</f>
        <v>14</v>
      </c>
      <c r="M55" s="39">
        <f>COUNTIFS('SOTA full paper filtered'!$C$5:$C$197,"2017",'SOTA full paper filtered'!$F$5:$F$197,"Model/Function")</f>
        <v>3</v>
      </c>
      <c r="N55" s="59">
        <f t="shared" si="6"/>
        <v>64</v>
      </c>
    </row>
    <row r="56" spans="2:14" ht="17" thickBot="1" x14ac:dyDescent="0.25">
      <c r="B56" s="37" t="s">
        <v>159</v>
      </c>
      <c r="C56" s="39">
        <f>COUNTIFS('SOTA full paper filtered'!$C$5:$C$197,"2007",'SOTA full paper filtered'!$F$5:$F$197,"matrix")</f>
        <v>1</v>
      </c>
      <c r="D56" s="39">
        <f>COUNTIFS('SOTA full paper filtered'!$C$5:$C$197,"2008",'SOTA full paper filtered'!$F$5:$F$197,"matrix")</f>
        <v>0</v>
      </c>
      <c r="E56" s="39">
        <f>COUNTIFS('SOTA full paper filtered'!$C$5:$C$197,"2009",'SOTA full paper filtered'!$F$5:$F$197,"matrix")</f>
        <v>1</v>
      </c>
      <c r="F56" s="39">
        <f>COUNTIFS('SOTA full paper filtered'!$C$5:$C$197,"2010",'SOTA full paper filtered'!$F$5:$F$197,"matrix")</f>
        <v>0</v>
      </c>
      <c r="G56" s="39">
        <f>COUNTIFS('SOTA full paper filtered'!$C$5:$C$197,"2011",'SOTA full paper filtered'!$F$5:$F$197,"matrix")</f>
        <v>1</v>
      </c>
      <c r="H56" s="39">
        <f>COUNTIFS('SOTA full paper filtered'!$C$5:$C$197,"2012",'SOTA full paper filtered'!$F$5:$F$197,"matrix")</f>
        <v>2</v>
      </c>
      <c r="I56" s="39">
        <f>COUNTIFS('SOTA full paper filtered'!$C$5:$C$197,"2013",'SOTA full paper filtered'!$F$5:$F$197,"matrix")</f>
        <v>1</v>
      </c>
      <c r="J56" s="39">
        <f>COUNTIFS('SOTA full paper filtered'!$C$5:$C$197,"2014",'SOTA full paper filtered'!$F$5:$F$197,"matrix")</f>
        <v>1</v>
      </c>
      <c r="K56" s="39">
        <f>COUNTIFS('SOTA full paper filtered'!$C$5:$C$197,"2015",'SOTA full paper filtered'!$F$5:$F$197,"matrix")</f>
        <v>3</v>
      </c>
      <c r="L56" s="39">
        <f>COUNTIFS('SOTA full paper filtered'!$C$5:$C$197,"2016",'SOTA full paper filtered'!$F$5:$F$197,"matrix")</f>
        <v>0</v>
      </c>
      <c r="M56" s="39">
        <f>COUNTIFS('SOTA full paper filtered'!$C$5:$C$197,"2017",'SOTA full paper filtered'!$F$5:$F$197,"matrix")</f>
        <v>1</v>
      </c>
      <c r="N56" s="59">
        <f t="shared" si="6"/>
        <v>11</v>
      </c>
    </row>
    <row r="57" spans="2:14" x14ac:dyDescent="0.2">
      <c r="N57" s="2">
        <f>SUM(N49:N56)</f>
        <v>193</v>
      </c>
    </row>
    <row r="67" spans="2:14" ht="17" thickBot="1" x14ac:dyDescent="0.25">
      <c r="C67" s="59">
        <v>2007</v>
      </c>
      <c r="D67" s="59">
        <v>2008</v>
      </c>
      <c r="E67" s="59">
        <v>2009</v>
      </c>
      <c r="F67" s="59">
        <v>2010</v>
      </c>
      <c r="G67" s="59">
        <v>2011</v>
      </c>
      <c r="H67" s="59">
        <v>2012</v>
      </c>
      <c r="I67" s="59">
        <v>2013</v>
      </c>
      <c r="J67" s="59">
        <v>2014</v>
      </c>
      <c r="K67" s="59">
        <v>2015</v>
      </c>
      <c r="L67" s="59">
        <v>2016</v>
      </c>
      <c r="M67" s="59">
        <v>2017</v>
      </c>
    </row>
    <row r="68" spans="2:14" ht="17" thickBot="1" x14ac:dyDescent="0.25">
      <c r="B68" s="48" t="s">
        <v>316</v>
      </c>
      <c r="C68" s="39">
        <f>COUNTIFS('SOTA full paper filtered'!$C$5:$C$197,"2007",'SOTA full paper filtered'!$E$5:$E$197,"customer perception")</f>
        <v>0</v>
      </c>
      <c r="D68" s="39">
        <f>COUNTIFS('SOTA full paper filtered'!$C$5:$C$197,"2008",'SOTA full paper filtered'!$E$5:$E$197,"customer perception")</f>
        <v>1</v>
      </c>
      <c r="E68" s="39">
        <f>COUNTIFS('SOTA full paper filtered'!$C$5:$C$197,"2009",'SOTA full paper filtered'!$E$5:$E$197,"customer perception")</f>
        <v>0</v>
      </c>
      <c r="F68" s="39">
        <f>COUNTIFS('SOTA full paper filtered'!$C$5:$C$197,"2010",'SOTA full paper filtered'!$E$5:$E$197,"customer perception")</f>
        <v>1</v>
      </c>
      <c r="G68" s="39">
        <f>COUNTIFS('SOTA full paper filtered'!$C$5:$C$197,"2011",'SOTA full paper filtered'!$E$5:$E$197,"customer perception")</f>
        <v>3</v>
      </c>
      <c r="H68" s="39">
        <f>COUNTIFS('SOTA full paper filtered'!$C$5:$C$197,"2012",'SOTA full paper filtered'!$E$5:$E$197,"customer perception")</f>
        <v>2</v>
      </c>
      <c r="I68" s="39">
        <f>COUNTIFS('SOTA full paper filtered'!$C$5:$C$197,"2013",'SOTA full paper filtered'!$E$5:$E$197,"customer perception")</f>
        <v>0</v>
      </c>
      <c r="J68" s="39">
        <f>COUNTIFS('SOTA full paper filtered'!$C$5:$C$197,"2014",'SOTA full paper filtered'!$E$5:$E$197,"customer perception")</f>
        <v>1</v>
      </c>
      <c r="K68" s="39">
        <f>COUNTIFS('SOTA full paper filtered'!$C$5:$C$197,"2015",'SOTA full paper filtered'!$E$5:$E$197,"customer perception")</f>
        <v>2</v>
      </c>
      <c r="L68" s="39">
        <f>COUNTIFS('SOTA full paper filtered'!$C$5:$C$197,"2016",'SOTA full paper filtered'!$E$5:$E$197,"customer perception")</f>
        <v>2</v>
      </c>
      <c r="M68" s="39">
        <f>COUNTIFS('SOTA full paper filtered'!$C$5:$C$197,"2017",'SOTA full paper filtered'!$E$5:$E$197,"customer perception")</f>
        <v>1</v>
      </c>
      <c r="N68" s="59">
        <f t="shared" ref="N68:N84" si="7">SUM(C68:M68)</f>
        <v>13</v>
      </c>
    </row>
    <row r="69" spans="2:14" ht="17" thickBot="1" x14ac:dyDescent="0.25">
      <c r="B69" s="46" t="s">
        <v>317</v>
      </c>
      <c r="C69" s="39">
        <f>COUNTIFS('SOTA full paper filtered'!$C$5:$C$197,"2007",'SOTA full paper filtered'!$E$5:$E$197,"Sust. Framework")</f>
        <v>0</v>
      </c>
      <c r="D69" s="39">
        <f>COUNTIFS('SOTA full paper filtered'!$C$5:$C$197,"2008",'SOTA full paper filtered'!$E$5:$E$197,"Sust. Framework")</f>
        <v>0</v>
      </c>
      <c r="E69" s="39">
        <f>COUNTIFS('SOTA full paper filtered'!$C$5:$C$197,"2009",'SOTA full paper filtered'!$E$5:$E$197,"Sust. Framework")</f>
        <v>1</v>
      </c>
      <c r="F69" s="39">
        <f>COUNTIFS('SOTA full paper filtered'!$C$5:$C$197,"2010",'SOTA full paper filtered'!$E$5:$E$197,"Sust. Framework")</f>
        <v>0</v>
      </c>
      <c r="G69" s="39">
        <f>COUNTIFS('SOTA full paper filtered'!$C$5:$C$197,"2011",'SOTA full paper filtered'!$E$5:$E$197,"Sust. Framework")</f>
        <v>1</v>
      </c>
      <c r="H69" s="39">
        <f>COUNTIFS('SOTA full paper filtered'!$C$5:$C$197,"2012",'SOTA full paper filtered'!$E$5:$E$197,"Sust. Framework")</f>
        <v>1</v>
      </c>
      <c r="I69" s="39">
        <f>COUNTIFS('SOTA full paper filtered'!$C$5:$C$197,"2013",'SOTA full paper filtered'!$E$5:$E$197,"Sust. Framework")</f>
        <v>1</v>
      </c>
      <c r="J69" s="39">
        <f>COUNTIFS('SOTA full paper filtered'!$C$5:$C$197,"2014",'SOTA full paper filtered'!$E$5:$E$197,"Sust. Framework")</f>
        <v>1</v>
      </c>
      <c r="K69" s="39">
        <f>COUNTIFS('SOTA full paper filtered'!$C$5:$C$197,"2015",'SOTA full paper filtered'!$E$5:$E$197,"Sust. Framework")</f>
        <v>0</v>
      </c>
      <c r="L69" s="39">
        <f>COUNTIFS('SOTA full paper filtered'!$C$5:$C$197,"2016",'SOTA full paper filtered'!$E$5:$E$197,"Sust. Framework")</f>
        <v>1</v>
      </c>
      <c r="M69" s="39">
        <f>COUNTIFS('SOTA full paper filtered'!$C$5:$C$197,"2017",'SOTA full paper filtered'!$E$5:$E$197,"Sust. Framework")</f>
        <v>1</v>
      </c>
      <c r="N69" s="59">
        <f t="shared" si="7"/>
        <v>7</v>
      </c>
    </row>
    <row r="70" spans="2:14" ht="17" thickBot="1" x14ac:dyDescent="0.25">
      <c r="B70" s="69" t="s">
        <v>319</v>
      </c>
      <c r="C70" s="39">
        <f>COUNTIFS('SOTA full paper filtered'!$C$5:$C$197,"2007",'SOTA full paper filtered'!$E$5:$E$197,"Areas of Interventions")</f>
        <v>0</v>
      </c>
      <c r="D70" s="39">
        <f>COUNTIFS('SOTA full paper filtered'!$C$5:$C$197,"2008",'SOTA full paper filtered'!$E$5:$E$197,"Areas of Interventions")</f>
        <v>1</v>
      </c>
      <c r="E70" s="39">
        <f>COUNTIFS('SOTA full paper filtered'!$C$5:$C$197,"2009",'SOTA full paper filtered'!$E$5:$E$197,"Areas of Interventions")</f>
        <v>0</v>
      </c>
      <c r="F70" s="39">
        <f>COUNTIFS('SOTA full paper filtered'!$C$5:$C$197,"2010",'SOTA full paper filtered'!$E$5:$E$197,"Areas of Interventions")</f>
        <v>1</v>
      </c>
      <c r="G70" s="39">
        <f>COUNTIFS('SOTA full paper filtered'!$C$5:$C$197,"2011",'SOTA full paper filtered'!$E$5:$E$197,"Areas of Interventions")</f>
        <v>1</v>
      </c>
      <c r="H70" s="39">
        <f>COUNTIFS('SOTA full paper filtered'!$C$5:$C$197,"2012",'SOTA full paper filtered'!$E$5:$E$197,"Areas of Interventions")</f>
        <v>3</v>
      </c>
      <c r="I70" s="39">
        <f>COUNTIFS('SOTA full paper filtered'!$C$5:$C$197,"2013",'SOTA full paper filtered'!$E$5:$E$197,"Areas of Interventions")</f>
        <v>3</v>
      </c>
      <c r="J70" s="39">
        <f>COUNTIFS('SOTA full paper filtered'!$C$5:$C$197,"2014",'SOTA full paper filtered'!$E$5:$E$197,"Areas of Interventions")</f>
        <v>3</v>
      </c>
      <c r="K70" s="39">
        <f>COUNTIFS('SOTA full paper filtered'!$C$5:$C$197,"2015",'SOTA full paper filtered'!$E$5:$E$197,"Areas of Interventions")</f>
        <v>4</v>
      </c>
      <c r="L70" s="39">
        <f>COUNTIFS('SOTA full paper filtered'!$C$5:$C$197,"2016",'SOTA full paper filtered'!$E$5:$E$197,"Areas of Interventions")</f>
        <v>2</v>
      </c>
      <c r="M70" s="39">
        <f>COUNTIFS('SOTA full paper filtered'!$C$5:$C$197,"2017",'SOTA full paper filtered'!$E$5:$E$197,"Areas of Interventions")</f>
        <v>1</v>
      </c>
      <c r="N70" s="59">
        <f t="shared" si="7"/>
        <v>19</v>
      </c>
    </row>
    <row r="71" spans="2:14" ht="17" thickBot="1" x14ac:dyDescent="0.25">
      <c r="B71" s="73" t="s">
        <v>323</v>
      </c>
      <c r="C71" s="39">
        <f>COUNTIFS('SOTA full paper filtered'!$C$5:$C$197,"2007",'SOTA full paper filtered'!$E$5:$E$197,"BM selection")</f>
        <v>0</v>
      </c>
      <c r="D71" s="39">
        <f>COUNTIFS('SOTA full paper filtered'!$C$5:$C$197,"2008",'SOTA full paper filtered'!$E$5:$E$197,"BM selection")</f>
        <v>0</v>
      </c>
      <c r="E71" s="39">
        <f>COUNTIFS('SOTA full paper filtered'!$C$5:$C$197,"2009",'SOTA full paper filtered'!$E$5:$E$197,"BM selection")</f>
        <v>1</v>
      </c>
      <c r="F71" s="39">
        <f>COUNTIFS('SOTA full paper filtered'!$C$5:$C$197,"2010",'SOTA full paper filtered'!$E$5:$E$197,"BM selection")</f>
        <v>0</v>
      </c>
      <c r="G71" s="39">
        <f>COUNTIFS('SOTA full paper filtered'!$C$5:$C$197,"2011",'SOTA full paper filtered'!$E$5:$E$197,"BM selection")</f>
        <v>0</v>
      </c>
      <c r="H71" s="39">
        <f>COUNTIFS('SOTA full paper filtered'!$C$5:$C$197,"2012",'SOTA full paper filtered'!$E$5:$E$197,"BM selection")</f>
        <v>0</v>
      </c>
      <c r="I71" s="39">
        <f>COUNTIFS('SOTA full paper filtered'!$C$5:$C$197,"2013",'SOTA full paper filtered'!$E$5:$E$197,"BM selection")</f>
        <v>1</v>
      </c>
      <c r="J71" s="39">
        <f>COUNTIFS('SOTA full paper filtered'!$C$5:$C$197,"2014",'SOTA full paper filtered'!$E$5:$E$197,"BM selection")</f>
        <v>0</v>
      </c>
      <c r="K71" s="39">
        <f>COUNTIFS('SOTA full paper filtered'!$C$5:$C$197,"2015",'SOTA full paper filtered'!$E$5:$E$197,"BM selection")</f>
        <v>5</v>
      </c>
      <c r="L71" s="39">
        <f>COUNTIFS('SOTA full paper filtered'!$C$5:$C$197,"2016",'SOTA full paper filtered'!$E$5:$E$197,"BM selection")</f>
        <v>3</v>
      </c>
      <c r="M71" s="39">
        <f>COUNTIFS('SOTA full paper filtered'!$C$5:$C$197,"2017",'SOTA full paper filtered'!$E$5:$E$197,"BM selection")</f>
        <v>0</v>
      </c>
      <c r="N71" s="59">
        <f t="shared" si="7"/>
        <v>10</v>
      </c>
    </row>
    <row r="72" spans="2:14" ht="17" thickBot="1" x14ac:dyDescent="0.25">
      <c r="B72" s="70" t="s">
        <v>320</v>
      </c>
      <c r="C72" s="39">
        <f>COUNTIFS('SOTA full paper filtered'!$C$5:$C$197,"2007",'SOTA full paper filtered'!$E$5:$E$197,"Business transformation")</f>
        <v>0</v>
      </c>
      <c r="D72" s="39">
        <f>COUNTIFS('SOTA full paper filtered'!$C$5:$C$197,"2008",'SOTA full paper filtered'!$E$5:$E$197,"Business transformation")</f>
        <v>0</v>
      </c>
      <c r="E72" s="39">
        <f>COUNTIFS('SOTA full paper filtered'!$C$5:$C$197,"2009",'SOTA full paper filtered'!$E$5:$E$197,"Business transformation")</f>
        <v>1</v>
      </c>
      <c r="F72" s="39">
        <f>COUNTIFS('SOTA full paper filtered'!$C$5:$C$197,"2010",'SOTA full paper filtered'!$E$5:$E$197,"Business transformation")</f>
        <v>0</v>
      </c>
      <c r="G72" s="39">
        <f>COUNTIFS('SOTA full paper filtered'!$C$5:$C$197,"2011",'SOTA full paper filtered'!$E$5:$E$197,"Business transformation")</f>
        <v>1</v>
      </c>
      <c r="H72" s="39">
        <f>COUNTIFS('SOTA full paper filtered'!$C$5:$C$197,"2012",'SOTA full paper filtered'!$E$5:$E$197,"Business transformation")</f>
        <v>3</v>
      </c>
      <c r="I72" s="39">
        <f>COUNTIFS('SOTA full paper filtered'!$C$5:$C$197,"2013",'SOTA full paper filtered'!$E$5:$E$197,"Business transformation")</f>
        <v>4</v>
      </c>
      <c r="J72" s="39">
        <f>COUNTIFS('SOTA full paper filtered'!$C$5:$C$197,"2014",'SOTA full paper filtered'!$E$5:$E$197,"Business transformation")</f>
        <v>1</v>
      </c>
      <c r="K72" s="39">
        <f>COUNTIFS('SOTA full paper filtered'!$C$5:$C$197,"2015",'SOTA full paper filtered'!$E$5:$E$197,"Business transformation")</f>
        <v>2</v>
      </c>
      <c r="L72" s="39">
        <f>COUNTIFS('SOTA full paper filtered'!$C$5:$C$197,"2016",'SOTA full paper filtered'!$E$5:$E$197,"Business transformation")</f>
        <v>4</v>
      </c>
      <c r="M72" s="39">
        <f>COUNTIFS('SOTA full paper filtered'!$C$5:$C$197,"2017",'SOTA full paper filtered'!$E$5:$E$197,"Business transformation")</f>
        <v>1</v>
      </c>
      <c r="N72" s="59">
        <f t="shared" si="7"/>
        <v>17</v>
      </c>
    </row>
    <row r="73" spans="2:14" ht="17" thickBot="1" x14ac:dyDescent="0.25">
      <c r="B73" s="71" t="s">
        <v>321</v>
      </c>
      <c r="C73" s="39">
        <f>COUNTIFS('SOTA full paper filtered'!$C$5:$C$197,"2007",'SOTA full paper filtered'!$E$5:$E$197,"KPI measurement")</f>
        <v>0</v>
      </c>
      <c r="D73" s="39">
        <f>COUNTIFS('SOTA full paper filtered'!$C$5:$C$197,"2008",'SOTA full paper filtered'!$E$5:$E$197,"KPI measurement")</f>
        <v>0</v>
      </c>
      <c r="E73" s="39">
        <f>COUNTIFS('SOTA full paper filtered'!$C$5:$C$197,"2009",'SOTA full paper filtered'!$E$5:$E$197,"KPI measurement")</f>
        <v>1</v>
      </c>
      <c r="F73" s="39">
        <f>COUNTIFS('SOTA full paper filtered'!$C$5:$C$197,"2010",'SOTA full paper filtered'!$E$5:$E$197,"KPI measurement")</f>
        <v>0</v>
      </c>
      <c r="G73" s="39">
        <f>COUNTIFS('SOTA full paper filtered'!$C$5:$C$197,"2011",'SOTA full paper filtered'!$E$5:$E$197,"KPI measurement")</f>
        <v>0</v>
      </c>
      <c r="H73" s="39">
        <f>COUNTIFS('SOTA full paper filtered'!$C$5:$C$197,"2012",'SOTA full paper filtered'!$E$5:$E$197,"KPI measurement")</f>
        <v>2</v>
      </c>
      <c r="I73" s="39">
        <f>COUNTIFS('SOTA full paper filtered'!$C$5:$C$197,"2013",'SOTA full paper filtered'!$E$5:$E$197,"KPI measurement")</f>
        <v>1</v>
      </c>
      <c r="J73" s="39">
        <f>COUNTIFS('SOTA full paper filtered'!$C$5:$C$197,"2014",'SOTA full paper filtered'!$E$5:$E$197,"KPI measurement")</f>
        <v>1</v>
      </c>
      <c r="K73" s="39">
        <f>COUNTIFS('SOTA full paper filtered'!$C$5:$C$197,"2015",'SOTA full paper filtered'!$E$5:$E$197,"KPI measurement")</f>
        <v>2</v>
      </c>
      <c r="L73" s="39">
        <f>COUNTIFS('SOTA full paper filtered'!$C$5:$C$197,"2016",'SOTA full paper filtered'!$E$5:$E$197,"KPI measurement")</f>
        <v>5</v>
      </c>
      <c r="M73" s="39">
        <f>COUNTIFS('SOTA full paper filtered'!$C$5:$C$197,"2017",'SOTA full paper filtered'!$E$5:$E$197,"KPI measurement")</f>
        <v>0</v>
      </c>
      <c r="N73" s="59">
        <f t="shared" si="7"/>
        <v>12</v>
      </c>
    </row>
    <row r="74" spans="2:14" ht="17" thickBot="1" x14ac:dyDescent="0.25">
      <c r="B74" s="72" t="s">
        <v>322</v>
      </c>
      <c r="C74" s="39">
        <f>COUNTIFS('SOTA full paper filtered'!$C$5:$C$197,"2007",'SOTA full paper filtered'!$E$5:$E$197,"Sustainability score")</f>
        <v>0</v>
      </c>
      <c r="D74" s="39">
        <f>COUNTIFS('SOTA full paper filtered'!$C$5:$C$197,"2008",'SOTA full paper filtered'!$E$5:$E$197,"Sustainability score")</f>
        <v>0</v>
      </c>
      <c r="E74" s="39">
        <f>COUNTIFS('SOTA full paper filtered'!$C$5:$C$197,"2009",'SOTA full paper filtered'!$E$5:$E$197,"Sustainability score")</f>
        <v>1</v>
      </c>
      <c r="F74" s="39">
        <f>COUNTIFS('SOTA full paper filtered'!$C$5:$C$197,"2010",'SOTA full paper filtered'!$E$5:$E$197,"Sustainability score")</f>
        <v>2</v>
      </c>
      <c r="G74" s="39">
        <f>COUNTIFS('SOTA full paper filtered'!$C$5:$C$197,"2011",'SOTA full paper filtered'!$E$5:$E$197,"Sustainability score")</f>
        <v>1</v>
      </c>
      <c r="H74" s="39">
        <f>COUNTIFS('SOTA full paper filtered'!$C$5:$C$197,"2012",'SOTA full paper filtered'!$E$5:$E$197,"Sustainability score")</f>
        <v>1</v>
      </c>
      <c r="I74" s="39">
        <f>COUNTIFS('SOTA full paper filtered'!$C$5:$C$197,"2013",'SOTA full paper filtered'!$E$5:$E$197,"Sustainability score")</f>
        <v>1</v>
      </c>
      <c r="J74" s="39">
        <f>COUNTIFS('SOTA full paper filtered'!$C$5:$C$197,"2014",'SOTA full paper filtered'!$E$5:$E$197,"Sustainability score")</f>
        <v>0</v>
      </c>
      <c r="K74" s="39">
        <f>COUNTIFS('SOTA full paper filtered'!$C$5:$C$197,"2015",'SOTA full paper filtered'!$E$5:$E$197,"Sustainability score")</f>
        <v>2</v>
      </c>
      <c r="L74" s="39">
        <f>COUNTIFS('SOTA full paper filtered'!$C$5:$C$197,"2016",'SOTA full paper filtered'!$E$5:$E$197,"Sustainability score")</f>
        <v>3</v>
      </c>
      <c r="M74" s="39">
        <f>COUNTIFS('SOTA full paper filtered'!$C$5:$C$197,"2017",'SOTA full paper filtered'!$E$5:$E$197,"Sustainability score")</f>
        <v>0</v>
      </c>
      <c r="N74" s="59">
        <f t="shared" si="7"/>
        <v>11</v>
      </c>
    </row>
    <row r="75" spans="2:14" ht="17" thickBot="1" x14ac:dyDescent="0.25">
      <c r="B75" s="67" t="s">
        <v>318</v>
      </c>
      <c r="C75" s="39">
        <f>COUNTIFS('SOTA full paper filtered'!$C$5:$C$197,"2007",'SOTA full paper filtered'!$E$5:$E$197,"Value creation areas")</f>
        <v>1</v>
      </c>
      <c r="D75" s="39">
        <f>COUNTIFS('SOTA full paper filtered'!$C$5:$C$197,"2008",'SOTA full paper filtered'!$E$5:$E$197,"Value creation areas")</f>
        <v>1</v>
      </c>
      <c r="E75" s="39">
        <f>COUNTIFS('SOTA full paper filtered'!$C$5:$C$197,"2009",'SOTA full paper filtered'!$E$5:$E$197,"Value creation areas")</f>
        <v>1</v>
      </c>
      <c r="F75" s="39">
        <f>COUNTIFS('SOTA full paper filtered'!$C$5:$C$197,"2010",'SOTA full paper filtered'!$E$5:$E$197,"Value creation areas")</f>
        <v>0</v>
      </c>
      <c r="G75" s="39">
        <f>COUNTIFS('SOTA full paper filtered'!$C$5:$C$197,"2011",'SOTA full paper filtered'!$E$5:$E$197,"Value creation areas")</f>
        <v>0</v>
      </c>
      <c r="H75" s="39">
        <f>COUNTIFS('SOTA full paper filtered'!$C$5:$C$197,"2012",'SOTA full paper filtered'!$E$5:$E$197,"Value creation areas")</f>
        <v>1</v>
      </c>
      <c r="I75" s="39">
        <f>COUNTIFS('SOTA full paper filtered'!$C$5:$C$197,"2013",'SOTA full paper filtered'!$E$5:$E$197,"Value creation areas")</f>
        <v>1</v>
      </c>
      <c r="J75" s="39">
        <f>COUNTIFS('SOTA full paper filtered'!$C$5:$C$197,"2014",'SOTA full paper filtered'!$E$5:$E$197,"Value creation areas")</f>
        <v>1</v>
      </c>
      <c r="K75" s="39">
        <f>COUNTIFS('SOTA full paper filtered'!$C$5:$C$197,"2015",'SOTA full paper filtered'!$E$5:$E$197,"Value creation areas")</f>
        <v>2</v>
      </c>
      <c r="L75" s="39">
        <f>COUNTIFS('SOTA full paper filtered'!$C$5:$C$197,"2016",'SOTA full paper filtered'!$E$5:$E$197,"Value creation areas")</f>
        <v>1</v>
      </c>
      <c r="M75" s="39">
        <f>COUNTIFS('SOTA full paper filtered'!$C$5:$C$197,"2017",'SOTA full paper filtered'!$E$5:$E$197,"Value creation areas")</f>
        <v>3</v>
      </c>
      <c r="N75" s="59">
        <f t="shared" si="7"/>
        <v>12</v>
      </c>
    </row>
    <row r="76" spans="2:14" ht="17" thickBot="1" x14ac:dyDescent="0.25">
      <c r="B76" s="54" t="s">
        <v>326</v>
      </c>
      <c r="C76" s="39">
        <f>COUNTIFS('SOTA full paper filtered'!$C$5:$C$197,"2007",'SOTA full paper filtered'!$E$5:$E$197,"Manufacturing KPI")</f>
        <v>2</v>
      </c>
      <c r="D76" s="39">
        <f>COUNTIFS('SOTA full paper filtered'!$C$5:$C$197,"2008",'SOTA full paper filtered'!$E$5:$E$197,"Manufacturing KPI")</f>
        <v>0</v>
      </c>
      <c r="E76" s="39">
        <f>COUNTIFS('SOTA full paper filtered'!$C$5:$C$197,"2009",'SOTA full paper filtered'!$E$5:$E$197,"Manufacturing KPI")</f>
        <v>0</v>
      </c>
      <c r="F76" s="39">
        <f>COUNTIFS('SOTA full paper filtered'!$C$5:$C$197,"2010",'SOTA full paper filtered'!$E$5:$E$197,"Manufacturing KPI")</f>
        <v>0</v>
      </c>
      <c r="G76" s="39">
        <f>COUNTIFS('SOTA full paper filtered'!$C$5:$C$197,"2011",'SOTA full paper filtered'!$E$5:$E$197,"Manufacturing KPI")</f>
        <v>1</v>
      </c>
      <c r="H76" s="39">
        <f>COUNTIFS('SOTA full paper filtered'!$C$5:$C$197,"2012",'SOTA full paper filtered'!$E$5:$E$197,"Manufacturing KPI")</f>
        <v>0</v>
      </c>
      <c r="I76" s="39">
        <f>COUNTIFS('SOTA full paper filtered'!$C$5:$C$197,"2013",'SOTA full paper filtered'!$E$5:$E$197,"Manufacturing KPI")</f>
        <v>3</v>
      </c>
      <c r="J76" s="39">
        <f>COUNTIFS('SOTA full paper filtered'!$C$5:$C$197,"2014",'SOTA full paper filtered'!$E$5:$E$197,"Manufacturing KPI")</f>
        <v>2</v>
      </c>
      <c r="K76" s="39">
        <f>COUNTIFS('SOTA full paper filtered'!$C$5:$C$197,"2015",'SOTA full paper filtered'!$E$5:$E$197,"Manufacturing KPI")</f>
        <v>0</v>
      </c>
      <c r="L76" s="39">
        <f>COUNTIFS('SOTA full paper filtered'!$C$5:$C$197,"2016",'SOTA full paper filtered'!$E$5:$E$197,"Manufacturing KPI")</f>
        <v>3</v>
      </c>
      <c r="M76" s="39">
        <f>COUNTIFS('SOTA full paper filtered'!$C$5:$C$197,"2017",'SOTA full paper filtered'!$E$5:$E$197,"Manufacturing KPI")</f>
        <v>0</v>
      </c>
      <c r="N76" s="59">
        <f t="shared" si="7"/>
        <v>11</v>
      </c>
    </row>
    <row r="77" spans="2:14" ht="17" thickBot="1" x14ac:dyDescent="0.25">
      <c r="B77" s="66" t="s">
        <v>327</v>
      </c>
      <c r="C77" s="39">
        <f>COUNTIFS('SOTA full paper filtered'!$C$5:$C$197,"2007",'SOTA full paper filtered'!$E$5:$E$197,"Project KPI")</f>
        <v>1</v>
      </c>
      <c r="D77" s="39">
        <f>COUNTIFS('SOTA full paper filtered'!$C$5:$C$197,"2008",'SOTA full paper filtered'!$E$5:$E$197,"Project KPI")</f>
        <v>1</v>
      </c>
      <c r="E77" s="39">
        <f>COUNTIFS('SOTA full paper filtered'!$C$5:$C$197,"2009",'SOTA full paper filtered'!$E$5:$E$197,"Project KPI")</f>
        <v>0</v>
      </c>
      <c r="F77" s="39">
        <f>COUNTIFS('SOTA full paper filtered'!$C$5:$C$197,"2010",'SOTA full paper filtered'!$E$5:$E$197,"Project KPI")</f>
        <v>0</v>
      </c>
      <c r="G77" s="39">
        <f>COUNTIFS('SOTA full paper filtered'!$C$5:$C$197,"2011",'SOTA full paper filtered'!$E$5:$E$197,"Project KPI")</f>
        <v>1</v>
      </c>
      <c r="H77" s="39">
        <f>COUNTIFS('SOTA full paper filtered'!$C$5:$C$197,"2012",'SOTA full paper filtered'!$E$5:$E$197,"Project KPI")</f>
        <v>1</v>
      </c>
      <c r="I77" s="39">
        <f>COUNTIFS('SOTA full paper filtered'!$C$5:$C$197,"2013",'SOTA full paper filtered'!$E$5:$E$197,"Project KPI")</f>
        <v>0</v>
      </c>
      <c r="J77" s="39">
        <f>COUNTIFS('SOTA full paper filtered'!$C$5:$C$197,"2014",'SOTA full paper filtered'!$E$5:$E$197,"Project KPI")</f>
        <v>0</v>
      </c>
      <c r="K77" s="39">
        <f>COUNTIFS('SOTA full paper filtered'!$C$5:$C$197,"2015",'SOTA full paper filtered'!$E$5:$E$197,"Project KPI")</f>
        <v>0</v>
      </c>
      <c r="L77" s="39">
        <f>COUNTIFS('SOTA full paper filtered'!$C$5:$C$197,"2016",'SOTA full paper filtered'!$E$5:$E$197,"Project KPI")</f>
        <v>0</v>
      </c>
      <c r="M77" s="39">
        <f>COUNTIFS('SOTA full paper filtered'!$C$5:$C$197,"2017",'SOTA full paper filtered'!$E$5:$E$197,"Project KPI")</f>
        <v>0</v>
      </c>
      <c r="N77" s="59">
        <f t="shared" si="7"/>
        <v>4</v>
      </c>
    </row>
    <row r="78" spans="2:14" ht="17" thickBot="1" x14ac:dyDescent="0.25">
      <c r="B78" s="95" t="s">
        <v>324</v>
      </c>
      <c r="C78" s="39">
        <f>COUNTIFS('SOTA full paper filtered'!$C$5:$C$197,"2007",'SOTA full paper filtered'!$E$5:$E$197,"Supply chain challen.")</f>
        <v>0</v>
      </c>
      <c r="D78" s="39">
        <f>COUNTIFS('SOTA full paper filtered'!$C$5:$C$197,"2008",'SOTA full paper filtered'!$E$5:$E$197,"Supply chain challen.")</f>
        <v>0</v>
      </c>
      <c r="E78" s="39">
        <f>COUNTIFS('SOTA full paper filtered'!$C$5:$C$197,"2009",'SOTA full paper filtered'!$E$5:$E$197,"Supply chain challen.")</f>
        <v>0</v>
      </c>
      <c r="F78" s="39">
        <f>COUNTIFS('SOTA full paper filtered'!$C$5:$C$197,"2010",'SOTA full paper filtered'!$E$5:$E$197,"Supply chain challen.")</f>
        <v>0</v>
      </c>
      <c r="G78" s="39">
        <f>COUNTIFS('SOTA full paper filtered'!$C$5:$C$197,"2011",'SOTA full paper filtered'!$E$5:$E$197,"Supply chain challen.")</f>
        <v>1</v>
      </c>
      <c r="H78" s="39">
        <f>COUNTIFS('SOTA full paper filtered'!$C$5:$C$197,"2012",'SOTA full paper filtered'!$E$5:$E$197,"Supply chain challen.")</f>
        <v>2</v>
      </c>
      <c r="I78" s="39">
        <f>COUNTIFS('SOTA full paper filtered'!$C$5:$C$197,"2013",'SOTA full paper filtered'!$E$5:$E$197,"Supply chain challen.")</f>
        <v>0</v>
      </c>
      <c r="J78" s="39">
        <f>COUNTIFS('SOTA full paper filtered'!$C$5:$C$197,"2014",'SOTA full paper filtered'!$E$5:$E$197,"Supply chain challen.")</f>
        <v>0</v>
      </c>
      <c r="K78" s="39">
        <f>COUNTIFS('SOTA full paper filtered'!$C$5:$C$197,"2015",'SOTA full paper filtered'!$E$5:$E$197,"Supply chain challen.")</f>
        <v>0</v>
      </c>
      <c r="L78" s="39">
        <f>COUNTIFS('SOTA full paper filtered'!$C$5:$C$197,"2016",'SOTA full paper filtered'!$E$5:$E$197,"Supply chain challen.")</f>
        <v>0</v>
      </c>
      <c r="M78" s="39">
        <f>COUNTIFS('SOTA full paper filtered'!$C$5:$C$197,"2017",'SOTA full paper filtered'!$E$5:$E$197,"Supply chain challen.")</f>
        <v>0</v>
      </c>
      <c r="N78" s="59">
        <f t="shared" si="7"/>
        <v>3</v>
      </c>
    </row>
    <row r="79" spans="2:14" ht="17" thickBot="1" x14ac:dyDescent="0.25">
      <c r="B79" s="50" t="s">
        <v>325</v>
      </c>
      <c r="C79" s="39">
        <f>COUNTIFS('SOTA full paper filtered'!$C$5:$C$197,"2007",'SOTA full paper filtered'!$E$5:$E$197,"Supply chain KPI")</f>
        <v>0</v>
      </c>
      <c r="D79" s="39">
        <f>COUNTIFS('SOTA full paper filtered'!$C$5:$C$197,"2008",'SOTA full paper filtered'!$E$5:$E$197,"Supply chain KPI")</f>
        <v>0</v>
      </c>
      <c r="E79" s="39">
        <f>COUNTIFS('SOTA full paper filtered'!$C$5:$C$197,"2009",'SOTA full paper filtered'!$E$5:$E$197,"Supply chain KPI")</f>
        <v>0</v>
      </c>
      <c r="F79" s="39">
        <f>COUNTIFS('SOTA full paper filtered'!$C$5:$C$197,"2010",'SOTA full paper filtered'!$E$5:$E$197,"Supply chain KPI")</f>
        <v>0</v>
      </c>
      <c r="G79" s="39">
        <f>COUNTIFS('SOTA full paper filtered'!$C$5:$C$197,"2011",'SOTA full paper filtered'!$E$5:$E$197,"Supply chain KPI")</f>
        <v>2</v>
      </c>
      <c r="H79" s="39">
        <f>COUNTIFS('SOTA full paper filtered'!$C$5:$C$197,"2012",'SOTA full paper filtered'!$E$5:$E$197,"Supply chain KPI")</f>
        <v>3</v>
      </c>
      <c r="I79" s="39">
        <f>COUNTIFS('SOTA full paper filtered'!$C$5:$C$197,"2013",'SOTA full paper filtered'!$E$5:$E$197,"Supply chain KPI")</f>
        <v>0</v>
      </c>
      <c r="J79" s="39">
        <f>COUNTIFS('SOTA full paper filtered'!$C$5:$C$197,"2014",'SOTA full paper filtered'!$E$5:$E$197,"Supply chain KPI")</f>
        <v>2</v>
      </c>
      <c r="K79" s="39">
        <f>COUNTIFS('SOTA full paper filtered'!$C$5:$C$197,"2015",'SOTA full paper filtered'!$E$5:$E$197,"Supply chain KPI")</f>
        <v>2</v>
      </c>
      <c r="L79" s="39">
        <f>COUNTIFS('SOTA full paper filtered'!$C$5:$C$197,"2016",'SOTA full paper filtered'!$E$5:$E$197,"Supply chain KPI")</f>
        <v>5</v>
      </c>
      <c r="M79" s="39">
        <f>COUNTIFS('SOTA full paper filtered'!$C$5:$C$197,"2017",'SOTA full paper filtered'!$E$5:$E$197,"Supply chain KPI")</f>
        <v>2</v>
      </c>
      <c r="N79" s="59">
        <f t="shared" si="7"/>
        <v>16</v>
      </c>
    </row>
    <row r="80" spans="2:14" ht="17" thickBot="1" x14ac:dyDescent="0.25">
      <c r="B80" s="42" t="s">
        <v>330</v>
      </c>
      <c r="C80" s="39">
        <f>COUNTIFS('SOTA full paper filtered'!$C$5:$C$197,"2007",'SOTA full paper filtered'!$E$5:$E$197,"DM Drivers")</f>
        <v>2</v>
      </c>
      <c r="D80" s="39">
        <f>COUNTIFS('SOTA full paper filtered'!$C$5:$C$197,"2008",'SOTA full paper filtered'!$E$5:$E$197,"DM Drivers")</f>
        <v>0</v>
      </c>
      <c r="E80" s="39">
        <f>COUNTIFS('SOTA full paper filtered'!$C$5:$C$197,"2009",'SOTA full paper filtered'!$E$5:$E$197,"DM Drivers")</f>
        <v>0</v>
      </c>
      <c r="F80" s="39">
        <f>COUNTIFS('SOTA full paper filtered'!$C$5:$C$197,"2010",'SOTA full paper filtered'!$E$5:$E$197,"DM Drivers")</f>
        <v>0</v>
      </c>
      <c r="G80" s="39">
        <f>COUNTIFS('SOTA full paper filtered'!$C$5:$C$197,"2011",'SOTA full paper filtered'!$E$5:$E$197,"DM Drivers")</f>
        <v>1</v>
      </c>
      <c r="H80" s="39">
        <f>COUNTIFS('SOTA full paper filtered'!$C$5:$C$197,"2012",'SOTA full paper filtered'!$E$5:$E$197,"DM Drivers")</f>
        <v>2</v>
      </c>
      <c r="I80" s="39">
        <f>COUNTIFS('SOTA full paper filtered'!$C$5:$C$197,"2013",'SOTA full paper filtered'!$E$5:$E$197,"DM Drivers")</f>
        <v>4</v>
      </c>
      <c r="J80" s="39">
        <f>COUNTIFS('SOTA full paper filtered'!$C$5:$C$197,"2014",'SOTA full paper filtered'!$E$5:$E$197,"DM Drivers")</f>
        <v>0</v>
      </c>
      <c r="K80" s="39">
        <f>COUNTIFS('SOTA full paper filtered'!$C$5:$C$197,"2015",'SOTA full paper filtered'!$E$5:$E$197,"DM Drivers")</f>
        <v>1</v>
      </c>
      <c r="L80" s="39">
        <f>COUNTIFS('SOTA full paper filtered'!$C$5:$C$197,"2016",'SOTA full paper filtered'!$E$5:$E$197,"DM Drivers")</f>
        <v>0</v>
      </c>
      <c r="M80" s="39">
        <f>COUNTIFS('SOTA full paper filtered'!$C$5:$C$197,"2017",'SOTA full paper filtered'!$E$5:$E$197,"DM Drivers")</f>
        <v>0</v>
      </c>
      <c r="N80" s="59">
        <f t="shared" si="7"/>
        <v>10</v>
      </c>
    </row>
    <row r="81" spans="2:14" ht="17" thickBot="1" x14ac:dyDescent="0.25">
      <c r="B81" s="40" t="s">
        <v>329</v>
      </c>
      <c r="C81" s="39">
        <f>COUNTIFS('SOTA full paper filtered'!$C$5:$C$197,"2007",'SOTA full paper filtered'!$E$5:$E$197,"Functions value/utility")</f>
        <v>0</v>
      </c>
      <c r="D81" s="39">
        <f>COUNTIFS('SOTA full paper filtered'!$C$5:$C$197,"2008",'SOTA full paper filtered'!$E$5:$E$197,"Functions value/utility")</f>
        <v>0</v>
      </c>
      <c r="E81" s="39">
        <f>COUNTIFS('SOTA full paper filtered'!$C$5:$C$197,"2009",'SOTA full paper filtered'!$E$5:$E$197,"Functions value/utility")</f>
        <v>1</v>
      </c>
      <c r="F81" s="39">
        <f>COUNTIFS('SOTA full paper filtered'!$C$5:$C$197,"2010",'SOTA full paper filtered'!$E$5:$E$197,"Functions value/utility")</f>
        <v>1</v>
      </c>
      <c r="G81" s="39">
        <f>COUNTIFS('SOTA full paper filtered'!$C$5:$C$197,"2011",'SOTA full paper filtered'!$E$5:$E$197,"Functions value/utility")</f>
        <v>1</v>
      </c>
      <c r="H81" s="39">
        <f>COUNTIFS('SOTA full paper filtered'!$C$5:$C$197,"2012",'SOTA full paper filtered'!$E$5:$E$197,"Functions value/utility")</f>
        <v>2</v>
      </c>
      <c r="I81" s="39">
        <f>COUNTIFS('SOTA full paper filtered'!$C$5:$C$197,"2013",'SOTA full paper filtered'!$E$5:$E$197,"Functions value/utility")</f>
        <v>1</v>
      </c>
      <c r="J81" s="39">
        <f>COUNTIFS('SOTA full paper filtered'!$C$5:$C$197,"2014",'SOTA full paper filtered'!$E$5:$E$197,"Functions value/utility")</f>
        <v>3</v>
      </c>
      <c r="K81" s="39">
        <f>COUNTIFS('SOTA full paper filtered'!$C$5:$C$197,"2015",'SOTA full paper filtered'!$E$5:$E$197,"Functions value/utility")</f>
        <v>0</v>
      </c>
      <c r="L81" s="39">
        <f>COUNTIFS('SOTA full paper filtered'!$C$5:$C$197,"2016",'SOTA full paper filtered'!$E$5:$E$197,"Functions value/utility")</f>
        <v>2</v>
      </c>
      <c r="M81" s="39">
        <f>COUNTIFS('SOTA full paper filtered'!$C$5:$C$197,"2017",'SOTA full paper filtered'!$E$5:$E$197,"Functions value/utility")</f>
        <v>0</v>
      </c>
      <c r="N81" s="59">
        <f t="shared" si="7"/>
        <v>11</v>
      </c>
    </row>
    <row r="82" spans="2:14" ht="17" thickBot="1" x14ac:dyDescent="0.25">
      <c r="B82" s="75" t="s">
        <v>406</v>
      </c>
      <c r="C82" s="39">
        <f>COUNTIFS('SOTA full paper filtered'!$C$5:$C$197,"2007",'SOTA full paper filtered'!$E$5:$E$197,"Simulation/Optimization")</f>
        <v>0</v>
      </c>
      <c r="D82" s="39">
        <f>COUNTIFS('SOTA full paper filtered'!$C$5:$C$197,"2008",'SOTA full paper filtered'!$E$5:$E$197,"Simulation/Optimization")</f>
        <v>0</v>
      </c>
      <c r="E82" s="39">
        <f>COUNTIFS('SOTA full paper filtered'!$C$5:$C$197,"2009",'SOTA full paper filtered'!$E$5:$E$197,"Simulation/Optimization")</f>
        <v>0</v>
      </c>
      <c r="F82" s="39">
        <f>COUNTIFS('SOTA full paper filtered'!$C$5:$C$197,"2010",'SOTA full paper filtered'!$E$5:$E$197,"Simulation/Optimization")</f>
        <v>0</v>
      </c>
      <c r="G82" s="39">
        <f>COUNTIFS('SOTA full paper filtered'!$C$5:$C$197,"2011",'SOTA full paper filtered'!$E$5:$E$197,"Simulation/Optimization")</f>
        <v>1</v>
      </c>
      <c r="H82" s="39">
        <f>COUNTIFS('SOTA full paper filtered'!$C$5:$C$197,"2012",'SOTA full paper filtered'!$E$5:$E$197,"Simulation/Optimization")</f>
        <v>0</v>
      </c>
      <c r="I82" s="39">
        <f>COUNTIFS('SOTA full paper filtered'!$C$5:$C$197,"2013",'SOTA full paper filtered'!$E$5:$E$197,"Simulation/Optimization")</f>
        <v>0</v>
      </c>
      <c r="J82" s="39">
        <f>COUNTIFS('SOTA full paper filtered'!$C$5:$C$197,"2014",'SOTA full paper filtered'!$E$5:$E$197,"Simulation/Optimization")</f>
        <v>5</v>
      </c>
      <c r="K82" s="39">
        <f>COUNTIFS('SOTA full paper filtered'!$C$5:$C$197,"2015",'SOTA full paper filtered'!$E$5:$E$197,"Simulation/Optimization")</f>
        <v>5</v>
      </c>
      <c r="L82" s="39">
        <f>COUNTIFS('SOTA full paper filtered'!$C$5:$C$197,"2016",'SOTA full paper filtered'!$E$5:$E$197,"Simulation/Optimization")</f>
        <v>1</v>
      </c>
      <c r="M82" s="39">
        <f>COUNTIFS('SOTA full paper filtered'!$C$5:$C$197,"2017",'SOTA full paper filtered'!$E$5:$E$197,"Simulation/Optimization")</f>
        <v>0</v>
      </c>
      <c r="N82" s="59">
        <f t="shared" si="7"/>
        <v>12</v>
      </c>
    </row>
    <row r="83" spans="2:14" ht="17" thickBot="1" x14ac:dyDescent="0.25">
      <c r="B83" s="41" t="s">
        <v>328</v>
      </c>
      <c r="C83" s="39">
        <f>COUNTIFS('SOTA full paper filtered'!$C$5:$C$197,"2007",'SOTA full paper filtered'!$E$5:$E$197,"Qualitative models")</f>
        <v>2</v>
      </c>
      <c r="D83" s="39">
        <f>COUNTIFS('SOTA full paper filtered'!$C$5:$C$197,"2008",'SOTA full paper filtered'!$E$5:$E$197,"Qualitative models")</f>
        <v>1</v>
      </c>
      <c r="E83" s="39">
        <f>COUNTIFS('SOTA full paper filtered'!$C$5:$C$197,"2009",'SOTA full paper filtered'!$E$5:$E$197,"Qualitative models")</f>
        <v>1</v>
      </c>
      <c r="F83" s="39">
        <f>COUNTIFS('SOTA full paper filtered'!$C$5:$C$197,"2010",'SOTA full paper filtered'!$E$5:$E$197,"Qualitative models")</f>
        <v>0</v>
      </c>
      <c r="G83" s="39">
        <f>COUNTIFS('SOTA full paper filtered'!$C$5:$C$197,"2011",'SOTA full paper filtered'!$E$5:$E$197,"Qualitative models")</f>
        <v>2</v>
      </c>
      <c r="H83" s="39">
        <f>COUNTIFS('SOTA full paper filtered'!$C$5:$C$197,"2012",'SOTA full paper filtered'!$E$5:$E$197,"Qualitative models")</f>
        <v>1</v>
      </c>
      <c r="I83" s="39">
        <f>COUNTIFS('SOTA full paper filtered'!$C$5:$C$197,"2013",'SOTA full paper filtered'!$E$5:$E$197,"Qualitative models")</f>
        <v>0</v>
      </c>
      <c r="J83" s="39">
        <f>COUNTIFS('SOTA full paper filtered'!$C$5:$C$197,"2014",'SOTA full paper filtered'!$E$5:$E$197,"Qualitative models")</f>
        <v>5</v>
      </c>
      <c r="K83" s="39">
        <f>COUNTIFS('SOTA full paper filtered'!$C$5:$C$197,"2015",'SOTA full paper filtered'!$E$5:$E$197,"Qualitative models")</f>
        <v>5</v>
      </c>
      <c r="L83" s="39">
        <f>COUNTIFS('SOTA full paper filtered'!$C$5:$C$197,"2016",'SOTA full paper filtered'!$E$5:$E$197,"Qualitative models")</f>
        <v>1</v>
      </c>
      <c r="M83" s="39">
        <f>COUNTIFS('SOTA full paper filtered'!$C$5:$C$197,"2017",'SOTA full paper filtered'!$E$5:$E$197,"Qualitative models")</f>
        <v>2</v>
      </c>
      <c r="N83" s="59">
        <f t="shared" si="7"/>
        <v>20</v>
      </c>
    </row>
    <row r="84" spans="2:14" ht="17" thickBot="1" x14ac:dyDescent="0.25">
      <c r="B84" s="76" t="s">
        <v>149</v>
      </c>
      <c r="C84" s="39">
        <f>COUNTIFS('SOTA full paper filtered'!$C$5:$C$197,"2007",'SOTA full paper filtered'!$E$5:$E$197,"Visualization")</f>
        <v>0</v>
      </c>
      <c r="D84" s="39">
        <f>COUNTIFS('SOTA full paper filtered'!$C$5:$C$197,"2008",'SOTA full paper filtered'!$E$5:$E$197,"Visualization")</f>
        <v>0</v>
      </c>
      <c r="E84" s="39">
        <f>COUNTIFS('SOTA full paper filtered'!$C$5:$C$197,"2009",'SOTA full paper filtered'!$E$5:$E$197,"Visualization")</f>
        <v>0</v>
      </c>
      <c r="F84" s="39">
        <f>COUNTIFS('SOTA full paper filtered'!$C$5:$C$197,"2010",'SOTA full paper filtered'!$E$5:$E$197,"Visualization")</f>
        <v>0</v>
      </c>
      <c r="G84" s="39">
        <f>COUNTIFS('SOTA full paper filtered'!$C$5:$C$197,"2011",'SOTA full paper filtered'!$E$5:$E$197,"Visualization")</f>
        <v>1</v>
      </c>
      <c r="H84" s="39">
        <f>COUNTIFS('SOTA full paper filtered'!$C$5:$C$197,"2012",'SOTA full paper filtered'!$E$5:$E$197,"Visualization")</f>
        <v>0</v>
      </c>
      <c r="I84" s="39">
        <f>COUNTIFS('SOTA full paper filtered'!$C$5:$C$197,"2013",'SOTA full paper filtered'!$E$5:$E$197,"Visualization")</f>
        <v>0</v>
      </c>
      <c r="J84" s="39">
        <f>COUNTIFS('SOTA full paper filtered'!$C$5:$C$197,"2014",'SOTA full paper filtered'!$E$5:$E$197,"Visualization")</f>
        <v>0</v>
      </c>
      <c r="K84" s="39">
        <f>COUNTIFS('SOTA full paper filtered'!$C$5:$C$197,"2015",'SOTA full paper filtered'!$E$5:$E$197,"Visualization")</f>
        <v>1</v>
      </c>
      <c r="L84" s="39">
        <f>COUNTIFS('SOTA full paper filtered'!$C$5:$C$197,"2016",'SOTA full paper filtered'!$E$5:$E$197,"Visualization")</f>
        <v>0</v>
      </c>
      <c r="M84" s="39">
        <f>COUNTIFS('SOTA full paper filtered'!$C$5:$C$197,"2017",'SOTA full paper filtered'!$E$5:$E$197,"Visualization")</f>
        <v>0</v>
      </c>
      <c r="N84" s="59">
        <f t="shared" si="7"/>
        <v>2</v>
      </c>
    </row>
    <row r="85" spans="2:14" x14ac:dyDescent="0.2">
      <c r="N85" s="2">
        <f>SUM(N68:N84)</f>
        <v>190</v>
      </c>
    </row>
    <row r="90" spans="2:14" ht="17" thickBot="1" x14ac:dyDescent="0.25">
      <c r="B90" s="2">
        <f>COUNTIFS('SOTA full paper filtered'!$F$5:$F$197,"Review/Themes",'SOTA full paper filtered'!$H$5:$H$197,"Generic/Undefined")</f>
        <v>20</v>
      </c>
      <c r="C90" s="2">
        <f>COUNTIFS('SOTA full paper filtered'!$F$5:$F$197,"Review/Themes",'SOTA full paper filtered'!$H$5:$H$197,"Agriculture and mining")</f>
        <v>0</v>
      </c>
      <c r="D90" s="2">
        <f>COUNTIFS('SOTA full paper filtered'!$F$5:$F$197,"Review/Themes",'SOTA full paper filtered'!$H$5:$H$197,"Building and transportation")</f>
        <v>1</v>
      </c>
      <c r="E90" s="2">
        <f>COUNTIFS('SOTA full paper filtered'!$F$5:$F$197,"Review/Themes",'SOTA full paper filtered'!$H$5:$H$197,"Commodities and consumer products")</f>
        <v>3</v>
      </c>
      <c r="F90" s="2">
        <f>COUNTIFS('SOTA full paper filtered'!$F$5:$F$197,"Review/Themes",'SOTA full paper filtered'!$H$5:$H$197,"Automotive and machineries")</f>
        <v>7</v>
      </c>
      <c r="G90" s="2">
        <f>COUNTIFS('SOTA full paper filtered'!$F$5:$F$197,"Review/Themes",'SOTA full paper filtered'!$H$5:$H$197,"Advanced Engineering")</f>
        <v>0</v>
      </c>
      <c r="H90" s="60" t="s">
        <v>165</v>
      </c>
      <c r="I90" s="2">
        <f>COUNTIFS('SOTA full paper filtered'!$F$5:$F$197,"Review/Themes",'SOTA full paper filtered'!$G$5:$G$197,"Company")</f>
        <v>20</v>
      </c>
      <c r="J90" s="2">
        <f>COUNTIFS('SOTA full paper filtered'!$F$5:$F$197,"Review/Themes",'SOTA full paper filtered'!$G$5:$G$197,"Projects")</f>
        <v>1</v>
      </c>
      <c r="K90" s="2">
        <f>COUNTIFS('SOTA full paper filtered'!$F$5:$F$197,"Review/Themes",'SOTA full paper filtered'!$G$5:$G$197,"Processes and assets")</f>
        <v>2</v>
      </c>
      <c r="L90" s="2">
        <f>COUNTIFS('SOTA full paper filtered'!$F$5:$F$197,"Review/Themes",'SOTA full paper filtered'!$G$5:$G$197,"Services and PSS")</f>
        <v>2</v>
      </c>
      <c r="M90" s="2">
        <f>COUNTIFS('SOTA full paper filtered'!$F$5:$F$197,"Review/Themes",'SOTA full paper filtered'!$G$5:$G$197,"Products")</f>
        <v>6</v>
      </c>
      <c r="N90" s="2">
        <f>COUNTIFS('SOTA full paper filtered'!$F$5:$F$197,"Review/Themes",'SOTA full paper filtered'!$G$5:$G$197,"Materials")</f>
        <v>0</v>
      </c>
    </row>
    <row r="91" spans="2:14" ht="17" thickBot="1" x14ac:dyDescent="0.25">
      <c r="B91" s="2">
        <f>COUNTIFS('SOTA full paper filtered'!$F$5:$F$197,"ISO Standard",'SOTA full paper filtered'!$H$5:$H$197,"Generic/Undefined")</f>
        <v>2</v>
      </c>
      <c r="C91" s="2">
        <f>COUNTIFS('SOTA full paper filtered'!$F$5:$F$197,"ISO Standard",'SOTA full paper filtered'!$H$5:$H$197,"Agriculture and mining")</f>
        <v>0</v>
      </c>
      <c r="D91" s="2">
        <f>COUNTIFS('SOTA full paper filtered'!$F$5:$F$197,"ISO Standard",'SOTA full paper filtered'!$H$5:$H$197,"Building and transportation")</f>
        <v>0</v>
      </c>
      <c r="E91" s="2">
        <f>COUNTIFS('SOTA full paper filtered'!$F$5:$F$197,"ISO Standard",'SOTA full paper filtered'!$H$5:$H$197,"Commodities and consumer products")</f>
        <v>1</v>
      </c>
      <c r="F91" s="2">
        <f>COUNTIFS('SOTA full paper filtered'!$F$5:$F$197,"ISO Standard",'SOTA full paper filtered'!$H$5:$H$197,"Automotive and machineries")</f>
        <v>0</v>
      </c>
      <c r="G91" s="2">
        <f>COUNTIFS('SOTA full paper filtered'!$F$5:$F$197,"ISO Standard",'SOTA full paper filtered'!$H$5:$H$197,"Advanced Engineering")</f>
        <v>0</v>
      </c>
      <c r="H91" s="59" t="s">
        <v>168</v>
      </c>
      <c r="I91" s="2">
        <f>COUNTIFS('SOTA full paper filtered'!$F$5:$F$197,"ISO Standard",'SOTA full paper filtered'!$G$5:$G$197,"Company")</f>
        <v>2</v>
      </c>
      <c r="J91" s="2">
        <f>COUNTIFS('SOTA full paper filtered'!$F$5:$F$197,"ISO Standard",'SOTA full paper filtered'!$G$5:$G$197,"Projects")</f>
        <v>0</v>
      </c>
      <c r="K91" s="2">
        <f>COUNTIFS('SOTA full paper filtered'!$F$5:$F$197,"ISO Standard",'SOTA full paper filtered'!$G$5:$G$197,"Processes and assets")</f>
        <v>0</v>
      </c>
      <c r="L91" s="2">
        <f>COUNTIFS('SOTA full paper filtered'!$F$5:$F$197,"ISO Standard",'SOTA full paper filtered'!$G$5:$G$197,"Services and PSS")</f>
        <v>0</v>
      </c>
      <c r="M91" s="2">
        <f>COUNTIFS('SOTA full paper filtered'!$F$5:$F$197,"ISO Standard",'SOTA full paper filtered'!$G$5:$G$197,"Products")</f>
        <v>1</v>
      </c>
      <c r="N91" s="2">
        <f>COUNTIFS('SOTA full paper filtered'!$F$5:$F$197,"ISO Standard",'SOTA full paper filtered'!$G$5:$G$197,"Materials")</f>
        <v>0</v>
      </c>
    </row>
    <row r="92" spans="2:14" ht="17" thickBot="1" x14ac:dyDescent="0.25">
      <c r="B92" s="2">
        <f>COUNTIFS('SOTA full paper filtered'!$F$5:$F$197,"Survey/Experiment",'SOTA full paper filtered'!$H$5:$H$197,"Generic/Undefined")</f>
        <v>10</v>
      </c>
      <c r="C92" s="2">
        <f>COUNTIFS('SOTA full paper filtered'!$F$5:$F$197,"Survey/Experiment",'SOTA full paper filtered'!$H$5:$H$197,"Agriculture and mining")</f>
        <v>0</v>
      </c>
      <c r="D92" s="2">
        <f>COUNTIFS('SOTA full paper filtered'!$F$5:$F$197,"Survey/Experiment",'SOTA full paper filtered'!$H$5:$H$197,"Building and transportation")</f>
        <v>0</v>
      </c>
      <c r="E92" s="2">
        <f>COUNTIFS('SOTA full paper filtered'!$F$5:$F$197,"Survey/Experiment",'SOTA full paper filtered'!$H$5:$H$197,"Commodities and consumer products")</f>
        <v>17</v>
      </c>
      <c r="F92" s="2">
        <f>COUNTIFS('SOTA full paper filtered'!$F$5:$F$197,"Survey/Experiment",'SOTA full paper filtered'!$H$5:$H$197,"Automotive and machineries")</f>
        <v>6</v>
      </c>
      <c r="G92" s="2">
        <f>COUNTIFS('SOTA full paper filtered'!$F$5:$F$197,"Survey/Experiment",'SOTA full paper filtered'!$H$5:$H$197,"Advanced Engineering")</f>
        <v>0</v>
      </c>
      <c r="H92" s="39" t="s">
        <v>161</v>
      </c>
      <c r="I92" s="2">
        <f>COUNTIFS('SOTA full paper filtered'!$F$5:$F$197,"Survey/Experiment",'SOTA full paper filtered'!$G$5:$G$197,"Company")</f>
        <v>7</v>
      </c>
      <c r="J92" s="2">
        <f>COUNTIFS('SOTA full paper filtered'!$F$5:$F$197,"Survey/Experiment",'SOTA full paper filtered'!$G$5:$G$197,"Projects")</f>
        <v>0</v>
      </c>
      <c r="K92" s="2">
        <f>COUNTIFS('SOTA full paper filtered'!$F$5:$F$197,"Survey/Experiment",'SOTA full paper filtered'!$G$5:$G$197,"Processes and assets")</f>
        <v>0</v>
      </c>
      <c r="L92" s="2">
        <f>COUNTIFS('SOTA full paper filtered'!$F$5:$F$197,"Survey/Experiment",'SOTA full paper filtered'!$G$5:$G$197,"Services and PSS")</f>
        <v>2</v>
      </c>
      <c r="M92" s="2">
        <f>COUNTIFS('SOTA full paper filtered'!$F$5:$F$197,"Survey/Experiment",'SOTA full paper filtered'!$G$5:$G$197,"Products")</f>
        <v>24</v>
      </c>
      <c r="N92" s="2">
        <f>COUNTIFS('SOTA full paper filtered'!$F$5:$F$197,"Survey/Experiment",'SOTA full paper filtered'!$G$5:$G$197,"Materials")</f>
        <v>0</v>
      </c>
    </row>
    <row r="93" spans="2:14" ht="17" thickBot="1" x14ac:dyDescent="0.25">
      <c r="B93" s="2">
        <f>COUNTIFS('SOTA full paper filtered'!$F$5:$F$197,"Framework/Roadmap",'SOTA full paper filtered'!$H$5:$H$197,"Generic/Undefined")</f>
        <v>17</v>
      </c>
      <c r="C93" s="2">
        <f>COUNTIFS('SOTA full paper filtered'!$F$5:$F$197,"Framework/Roadmap",'SOTA full paper filtered'!$H$5:$H$197,"Agriculture and mining")</f>
        <v>0</v>
      </c>
      <c r="D93" s="2">
        <f>COUNTIFS('SOTA full paper filtered'!$F$5:$F$197,"Framework/Roadmap",'SOTA full paper filtered'!$H$5:$H$197,"Building and transportation")</f>
        <v>2</v>
      </c>
      <c r="E93" s="2">
        <f>COUNTIFS('SOTA full paper filtered'!$F$5:$F$197,"Framework/Roadmap",'SOTA full paper filtered'!$H$5:$H$197,"Commodities and consumer products")</f>
        <v>3</v>
      </c>
      <c r="F93" s="2">
        <f>COUNTIFS('SOTA full paper filtered'!$F$5:$F$197,"Framework/Roadmap",'SOTA full paper filtered'!$H$5:$H$197,"Automotive and machineries")</f>
        <v>1</v>
      </c>
      <c r="G93" s="2">
        <f>COUNTIFS('SOTA full paper filtered'!$F$5:$F$197,"Framework/Roadmap",'SOTA full paper filtered'!$H$5:$H$197,"Advanced Engineering")</f>
        <v>0</v>
      </c>
      <c r="H93" s="33" t="s">
        <v>166</v>
      </c>
      <c r="I93" s="2">
        <f>COUNTIFS('SOTA full paper filtered'!$F$5:$F$197,"Framework/Roadmap",'SOTA full paper filtered'!$G$5:$G$197,"Company")</f>
        <v>11</v>
      </c>
      <c r="J93" s="2">
        <f>COUNTIFS('SOTA full paper filtered'!$F$5:$F$197,"Framework/Roadmap",'SOTA full paper filtered'!$G$5:$G$197,"Projects")</f>
        <v>1</v>
      </c>
      <c r="K93" s="2">
        <f>COUNTIFS('SOTA full paper filtered'!$F$5:$F$197,"Framework/Roadmap",'SOTA full paper filtered'!$G$5:$G$197,"Processes and assets")</f>
        <v>0</v>
      </c>
      <c r="L93" s="2">
        <f>COUNTIFS('SOTA full paper filtered'!$F$5:$F$197,"Framework/Roadmap",'SOTA full paper filtered'!$G$5:$G$197,"Services and PSS")</f>
        <v>3</v>
      </c>
      <c r="M93" s="2">
        <f>COUNTIFS('SOTA full paper filtered'!$F$5:$F$197,"Framework/Roadmap",'SOTA full paper filtered'!$G$5:$G$197,"Products")</f>
        <v>8</v>
      </c>
      <c r="N93" s="2">
        <f>COUNTIFS('SOTA full paper filtered'!$F$5:$F$197,"Framework/Roadmap",'SOTA full paper filtered'!$G$5:$G$197,"Materials")</f>
        <v>0</v>
      </c>
    </row>
    <row r="94" spans="2:14" ht="17" thickBot="1" x14ac:dyDescent="0.25">
      <c r="B94" s="2">
        <f>COUNTIFS('SOTA full paper filtered'!$F$5:$F$197,"Methodology",'SOTA full paper filtered'!$H$5:$H$197,"Generic/Undefined")</f>
        <v>4</v>
      </c>
      <c r="C94" s="2">
        <f>COUNTIFS('SOTA full paper filtered'!$F$5:$F$197,"Methodology",'SOTA full paper filtered'!$H$5:$H$197,"Agriculture and mining")</f>
        <v>0</v>
      </c>
      <c r="D94" s="2">
        <f>COUNTIFS('SOTA full paper filtered'!$F$5:$F$197,"Methodology",'SOTA full paper filtered'!$H$5:$H$197,"Building and transportation")</f>
        <v>1</v>
      </c>
      <c r="E94" s="2">
        <f>COUNTIFS('SOTA full paper filtered'!$F$5:$F$197,"Methodology",'SOTA full paper filtered'!$H$5:$H$197,"Commodities and consumer products")</f>
        <v>1</v>
      </c>
      <c r="F94" s="2">
        <f>COUNTIFS('SOTA full paper filtered'!$F$5:$F$197,"Methodology",'SOTA full paper filtered'!$H$5:$H$197,"Automotive and machineries")</f>
        <v>2</v>
      </c>
      <c r="G94" s="2">
        <f>COUNTIFS('SOTA full paper filtered'!$F$5:$F$197,"Methodology",'SOTA full paper filtered'!$H$5:$H$197,"Advanced Engineering")</f>
        <v>0</v>
      </c>
      <c r="H94" s="34" t="s">
        <v>157</v>
      </c>
      <c r="I94" s="2">
        <f>COUNTIFS('SOTA full paper filtered'!$F$5:$F$197,"methodology",'SOTA full paper filtered'!$G$5:$G$197,"Company")</f>
        <v>1</v>
      </c>
      <c r="J94" s="2">
        <f>COUNTIFS('SOTA full paper filtered'!$F$5:$F$197,"methodology",'SOTA full paper filtered'!$G$5:$G$197,"Projects")</f>
        <v>1</v>
      </c>
      <c r="K94" s="2">
        <f>COUNTIFS('SOTA full paper filtered'!$F$5:$F$197,"methodology",'SOTA full paper filtered'!$G$5:$G$197,"Processes and assets")</f>
        <v>0</v>
      </c>
      <c r="L94" s="2">
        <f>COUNTIFS('SOTA full paper filtered'!$F$5:$F$197,"methodology",'SOTA full paper filtered'!$G$5:$G$197,"Services and PSS")</f>
        <v>2</v>
      </c>
      <c r="M94" s="2">
        <f>COUNTIFS('SOTA full paper filtered'!$F$5:$F$197,"methodology",'SOTA full paper filtered'!$G$5:$G$197,"Products")</f>
        <v>4</v>
      </c>
      <c r="N94" s="2">
        <f>COUNTIFS('SOTA full paper filtered'!$F$5:$F$197,"methodology",'SOTA full paper filtered'!$G$5:$G$197,"Materials")</f>
        <v>0</v>
      </c>
    </row>
    <row r="95" spans="2:14" ht="17" thickBot="1" x14ac:dyDescent="0.25">
      <c r="B95" s="2">
        <f>COUNTIFS('SOTA full paper filtered'!$F$5:$F$197,"Indicator",'SOTA full paper filtered'!$H$5:$H$197,"Generic/Undefined")</f>
        <v>7</v>
      </c>
      <c r="C95" s="2">
        <f>COUNTIFS('SOTA full paper filtered'!$F$5:$F$197,"Indicator",'SOTA full paper filtered'!$H$5:$H$197,"Agriculture and mining")</f>
        <v>1</v>
      </c>
      <c r="D95" s="2">
        <f>COUNTIFS('SOTA full paper filtered'!$F$5:$F$197,"Indicator",'SOTA full paper filtered'!$H$5:$H$197,"Building and transportation")</f>
        <v>4</v>
      </c>
      <c r="E95" s="2">
        <f>COUNTIFS('SOTA full paper filtered'!$F$5:$F$197,"Indicator",'SOTA full paper filtered'!$H$5:$H$197,"Commodities and consumer products")</f>
        <v>4</v>
      </c>
      <c r="F95" s="2">
        <f>COUNTIFS('SOTA full paper filtered'!$F$5:$F$197,"Indicator",'SOTA full paper filtered'!$H$5:$H$197,"Automotive and machineries")</f>
        <v>4</v>
      </c>
      <c r="G95" s="2">
        <f>COUNTIFS('SOTA full paper filtered'!$F$5:$F$197,"Indicator",'SOTA full paper filtered'!$H$5:$H$197,"Advanced Engineering")</f>
        <v>0</v>
      </c>
      <c r="H95" s="35" t="s">
        <v>158</v>
      </c>
      <c r="I95" s="2">
        <f>COUNTIFS('SOTA full paper filtered'!$F$5:$F$197,"Indicator",'SOTA full paper filtered'!$G$5:$G$197,"Company")</f>
        <v>9</v>
      </c>
      <c r="J95" s="2">
        <f>COUNTIFS('SOTA full paper filtered'!$F$5:$F$197,"Indicator",'SOTA full paper filtered'!$G$5:$G$197,"Projects")</f>
        <v>1</v>
      </c>
      <c r="K95" s="2">
        <f>COUNTIFS('SOTA full paper filtered'!$F$5:$F$197,"Indicator",'SOTA full paper filtered'!$G$5:$G$197,"Processes and assets")</f>
        <v>1</v>
      </c>
      <c r="L95" s="2">
        <f>COUNTIFS('SOTA full paper filtered'!$F$5:$F$197,"Indicator",'SOTA full paper filtered'!$G$5:$G$197,"Services and PSS")</f>
        <v>3</v>
      </c>
      <c r="M95" s="2">
        <f>COUNTIFS('SOTA full paper filtered'!$F$5:$F$197,"Indicator",'SOTA full paper filtered'!$G$5:$G$197,"Products")</f>
        <v>3</v>
      </c>
      <c r="N95" s="2">
        <f>COUNTIFS('SOTA full paper filtered'!$F$5:$F$197,"Indicator",'SOTA full paper filtered'!$G$5:$G$197,"Materials")</f>
        <v>3</v>
      </c>
    </row>
    <row r="96" spans="2:14" ht="17" thickBot="1" x14ac:dyDescent="0.25">
      <c r="B96" s="2">
        <f>COUNTIFS('SOTA full paper filtered'!$F$5:$F$197,"Model/Function",'SOTA full paper filtered'!$H$5:$H$197,"Generic/Undefined")</f>
        <v>14</v>
      </c>
      <c r="C96" s="2">
        <f>COUNTIFS('SOTA full paper filtered'!$F$5:$F$197,"Model/Function",'SOTA full paper filtered'!$H$5:$H$197,"Agriculture and mining")</f>
        <v>1</v>
      </c>
      <c r="D96" s="2">
        <f>COUNTIFS('SOTA full paper filtered'!$F$5:$F$197,"Model/Function",'SOTA full paper filtered'!$H$5:$H$197,"Building and transportation")</f>
        <v>10</v>
      </c>
      <c r="E96" s="2">
        <f>COUNTIFS('SOTA full paper filtered'!$F$5:$F$197,"Model/Function",'SOTA full paper filtered'!$H$5:$H$197,"Commodities and consumer products")</f>
        <v>12</v>
      </c>
      <c r="F96" s="2">
        <f>COUNTIFS('SOTA full paper filtered'!$F$5:$F$197,"Model/Function",'SOTA full paper filtered'!$H$5:$H$197,"Automotive and machineries")</f>
        <v>24</v>
      </c>
      <c r="G96" s="2">
        <f>COUNTIFS('SOTA full paper filtered'!$F$5:$F$197,"Model/Function",'SOTA full paper filtered'!$H$5:$H$197,"Advanced Engineering")</f>
        <v>3</v>
      </c>
      <c r="H96" s="36" t="s">
        <v>160</v>
      </c>
      <c r="I96" s="2">
        <f>COUNTIFS('SOTA full paper filtered'!$F$5:$F$197,"Model/Function",'SOTA full paper filtered'!$G$5:$G$197,"Company")</f>
        <v>3</v>
      </c>
      <c r="J96" s="2">
        <f>COUNTIFS('SOTA full paper filtered'!$F$5:$F$197,"Model/Function",'SOTA full paper filtered'!$G$5:$G$197,"Projects")</f>
        <v>6</v>
      </c>
      <c r="K96" s="2">
        <f>COUNTIFS('SOTA full paper filtered'!$F$5:$F$197,"Model/Function",'SOTA full paper filtered'!$G$5:$G$197,"Processes and assets")</f>
        <v>8</v>
      </c>
      <c r="L96" s="2">
        <f>COUNTIFS('SOTA full paper filtered'!$F$5:$F$197,"Model/Function",'SOTA full paper filtered'!$G$5:$G$197,"Services and PSS")</f>
        <v>7</v>
      </c>
      <c r="M96" s="2">
        <f>COUNTIFS('SOTA full paper filtered'!$F$5:$F$197,"Model/Function",'SOTA full paper filtered'!$G$5:$G$197,"Products")</f>
        <v>33</v>
      </c>
      <c r="N96" s="2">
        <f>COUNTIFS('SOTA full paper filtered'!$F$5:$F$197,"Model/Function",'SOTA full paper filtered'!$G$5:$G$197,"Materials")</f>
        <v>7</v>
      </c>
    </row>
    <row r="97" spans="2:14" ht="17" thickBot="1" x14ac:dyDescent="0.25">
      <c r="B97" s="2">
        <f>COUNTIFS('SOTA full paper filtered'!$F$5:$F$197,"Matrix",'SOTA full paper filtered'!$H$5:$H$197,"Generic/Undefined")</f>
        <v>2</v>
      </c>
      <c r="C97" s="2">
        <f>COUNTIFS('SOTA full paper filtered'!$F$5:$F$197,"Matrix",'SOTA full paper filtered'!$H$5:$H$197,"Agriculture and mining")</f>
        <v>1</v>
      </c>
      <c r="D97" s="2">
        <f>COUNTIFS('SOTA full paper filtered'!$F$5:$F$197,"Matrix",'SOTA full paper filtered'!$H$5:$H$197,"Building and transportation")</f>
        <v>2</v>
      </c>
      <c r="E97" s="2">
        <f>COUNTIFS('SOTA full paper filtered'!$F$5:$F$197,"Matrix",'SOTA full paper filtered'!$H$5:$H$197,"Commodities and consumer products")</f>
        <v>2</v>
      </c>
      <c r="F97" s="2">
        <f>COUNTIFS('SOTA full paper filtered'!$F$5:$F$197,"Matrix",'SOTA full paper filtered'!$H$5:$H$197,"Automotive and machineries")</f>
        <v>4</v>
      </c>
      <c r="G97" s="2">
        <f>COUNTIFS('SOTA full paper filtered'!$F$5:$F$197,"Matrix",'SOTA full paper filtered'!$H$5:$H$197,"Advanced Engineering")</f>
        <v>0</v>
      </c>
      <c r="H97" s="37" t="s">
        <v>159</v>
      </c>
      <c r="I97" s="2">
        <f>COUNTIFS('SOTA full paper filtered'!$F$5:$F$197,"Matrix",'SOTA full paper filtered'!$G$5:$G$197,"Company")</f>
        <v>1</v>
      </c>
      <c r="J97" s="2">
        <f>COUNTIFS('SOTA full paper filtered'!$F$5:$F$197,"Matrix",'SOTA full paper filtered'!$G$5:$G$197,"Projects")</f>
        <v>3</v>
      </c>
      <c r="K97" s="2">
        <f>COUNTIFS('SOTA full paper filtered'!$F$5:$F$197,"Matrix",'SOTA full paper filtered'!$G$5:$G$197,"Processes and assets")</f>
        <v>1</v>
      </c>
      <c r="L97" s="2">
        <f>COUNTIFS('SOTA full paper filtered'!$F$5:$F$197,"Matrix",'SOTA full paper filtered'!$G$5:$G$197,"Services and PSS")</f>
        <v>1</v>
      </c>
      <c r="M97" s="2">
        <f>COUNTIFS('SOTA full paper filtered'!$F$5:$F$197,"Matrix",'SOTA full paper filtered'!$G$5:$G$197,"Products")</f>
        <v>3</v>
      </c>
      <c r="N97" s="2">
        <f>COUNTIFS('SOTA full paper filtered'!$F$5:$F$197,"Matrix",'SOTA full paper filtered'!$G$5:$G$197,"Materials")</f>
        <v>2</v>
      </c>
    </row>
    <row r="98" spans="2:14" ht="17" thickBot="1" x14ac:dyDescent="0.25">
      <c r="B98" s="50" t="s">
        <v>363</v>
      </c>
      <c r="C98" s="39" t="s">
        <v>362</v>
      </c>
      <c r="D98" s="51" t="s">
        <v>361</v>
      </c>
      <c r="E98" s="54" t="s">
        <v>360</v>
      </c>
      <c r="F98" s="55" t="s">
        <v>404</v>
      </c>
      <c r="G98" s="56" t="s">
        <v>164</v>
      </c>
      <c r="I98" s="39" t="s">
        <v>364</v>
      </c>
      <c r="J98" s="48" t="s">
        <v>368</v>
      </c>
      <c r="K98" s="47" t="s">
        <v>365</v>
      </c>
      <c r="L98" s="46" t="s">
        <v>367</v>
      </c>
      <c r="M98" s="45" t="s">
        <v>366</v>
      </c>
      <c r="N98" s="44" t="s">
        <v>140</v>
      </c>
    </row>
  </sheetData>
  <conditionalFormatting sqref="B4 B22:N24">
    <cfRule type="containsText" dxfId="147" priority="103" operator="containsText" text="Operational">
      <formula>NOT(ISERROR(SEARCH("Operational",B4)))</formula>
    </cfRule>
    <cfRule type="containsText" dxfId="146" priority="104" operator="containsText" text="Tactical">
      <formula>NOT(ISERROR(SEARCH("Tactical",B4)))</formula>
    </cfRule>
    <cfRule type="cellIs" dxfId="145" priority="105" operator="equal">
      <formula>"Strategic"</formula>
    </cfRule>
  </conditionalFormatting>
  <conditionalFormatting sqref="B5">
    <cfRule type="containsText" dxfId="144" priority="100" operator="containsText" text="Operational">
      <formula>NOT(ISERROR(SEARCH("Operational",B5)))</formula>
    </cfRule>
    <cfRule type="containsText" dxfId="143" priority="101" operator="containsText" text="Tactical">
      <formula>NOT(ISERROR(SEARCH("Tactical",B5)))</formula>
    </cfRule>
    <cfRule type="cellIs" dxfId="142" priority="102" operator="equal">
      <formula>"Strategic"</formula>
    </cfRule>
  </conditionalFormatting>
  <conditionalFormatting sqref="B6">
    <cfRule type="containsText" dxfId="141" priority="97" operator="containsText" text="Operational">
      <formula>NOT(ISERROR(SEARCH("Operational",B6)))</formula>
    </cfRule>
    <cfRule type="containsText" dxfId="140" priority="98" operator="containsText" text="Tactical">
      <formula>NOT(ISERROR(SEARCH("Tactical",B6)))</formula>
    </cfRule>
    <cfRule type="cellIs" dxfId="139" priority="99" operator="equal">
      <formula>"Strategic"</formula>
    </cfRule>
  </conditionalFormatting>
  <conditionalFormatting sqref="B7">
    <cfRule type="containsText" dxfId="138" priority="94" operator="containsText" text="Operational">
      <formula>NOT(ISERROR(SEARCH("Operational",B7)))</formula>
    </cfRule>
    <cfRule type="containsText" dxfId="137" priority="95" operator="containsText" text="Tactical">
      <formula>NOT(ISERROR(SEARCH("Tactical",B7)))</formula>
    </cfRule>
    <cfRule type="cellIs" dxfId="136" priority="96" operator="equal">
      <formula>"Strategic"</formula>
    </cfRule>
  </conditionalFormatting>
  <conditionalFormatting sqref="C4:M7">
    <cfRule type="containsText" dxfId="135" priority="91" operator="containsText" text="Operational">
      <formula>NOT(ISERROR(SEARCH("Operational",C4)))</formula>
    </cfRule>
    <cfRule type="containsText" dxfId="134" priority="92" operator="containsText" text="Tactical">
      <formula>NOT(ISERROR(SEARCH("Tactical",C4)))</formula>
    </cfRule>
    <cfRule type="cellIs" dxfId="133" priority="93" operator="equal">
      <formula>"Strategic"</formula>
    </cfRule>
  </conditionalFormatting>
  <conditionalFormatting sqref="C3:M3">
    <cfRule type="containsText" dxfId="132" priority="88" operator="containsText" text="Operational">
      <formula>NOT(ISERROR(SEARCH("Operational",C3)))</formula>
    </cfRule>
    <cfRule type="containsText" dxfId="131" priority="89" operator="containsText" text="Tactical">
      <formula>NOT(ISERROR(SEARCH("Tactical",C3)))</formula>
    </cfRule>
    <cfRule type="cellIs" dxfId="130" priority="90" operator="equal">
      <formula>"Strategic"</formula>
    </cfRule>
  </conditionalFormatting>
  <conditionalFormatting sqref="N4:N7">
    <cfRule type="containsText" dxfId="129" priority="85" operator="containsText" text="Operational">
      <formula>NOT(ISERROR(SEARCH("Operational",N4)))</formula>
    </cfRule>
    <cfRule type="containsText" dxfId="128" priority="86" operator="containsText" text="Tactical">
      <formula>NOT(ISERROR(SEARCH("Tactical",N4)))</formula>
    </cfRule>
    <cfRule type="cellIs" dxfId="127" priority="87" operator="equal">
      <formula>"Strategic"</formula>
    </cfRule>
  </conditionalFormatting>
  <conditionalFormatting sqref="C8:M8">
    <cfRule type="containsText" dxfId="126" priority="82" operator="containsText" text="Operational">
      <formula>NOT(ISERROR(SEARCH("Operational",C8)))</formula>
    </cfRule>
    <cfRule type="containsText" dxfId="125" priority="83" operator="containsText" text="Tactical">
      <formula>NOT(ISERROR(SEARCH("Tactical",C8)))</formula>
    </cfRule>
    <cfRule type="cellIs" dxfId="124" priority="84" operator="equal">
      <formula>"Strategic"</formula>
    </cfRule>
  </conditionalFormatting>
  <conditionalFormatting sqref="C21:M21">
    <cfRule type="containsText" dxfId="123" priority="79" operator="containsText" text="Operational">
      <formula>NOT(ISERROR(SEARCH("Operational",C21)))</formula>
    </cfRule>
    <cfRule type="containsText" dxfId="122" priority="80" operator="containsText" text="Tactical">
      <formula>NOT(ISERROR(SEARCH("Tactical",C21)))</formula>
    </cfRule>
    <cfRule type="cellIs" dxfId="121" priority="81" operator="equal">
      <formula>"Strategic"</formula>
    </cfRule>
  </conditionalFormatting>
  <conditionalFormatting sqref="N25:N27">
    <cfRule type="containsText" dxfId="120" priority="76" operator="containsText" text="Operational">
      <formula>NOT(ISERROR(SEARCH("Operational",N25)))</formula>
    </cfRule>
    <cfRule type="containsText" dxfId="119" priority="77" operator="containsText" text="Tactical">
      <formula>NOT(ISERROR(SEARCH("Tactical",N25)))</formula>
    </cfRule>
    <cfRule type="cellIs" dxfId="118" priority="78" operator="equal">
      <formula>"Strategic"</formula>
    </cfRule>
  </conditionalFormatting>
  <conditionalFormatting sqref="B25:B27">
    <cfRule type="containsText" dxfId="117" priority="73" operator="containsText" text="Operational">
      <formula>NOT(ISERROR(SEARCH("Operational",B25)))</formula>
    </cfRule>
    <cfRule type="containsText" dxfId="116" priority="74" operator="containsText" text="Tactical">
      <formula>NOT(ISERROR(SEARCH("Tactical",B25)))</formula>
    </cfRule>
    <cfRule type="cellIs" dxfId="115" priority="75" operator="equal">
      <formula>"Strategic"</formula>
    </cfRule>
  </conditionalFormatting>
  <conditionalFormatting sqref="C25:M27">
    <cfRule type="containsText" dxfId="114" priority="70" operator="containsText" text="Operational">
      <formula>NOT(ISERROR(SEARCH("Operational",C25)))</formula>
    </cfRule>
    <cfRule type="containsText" dxfId="113" priority="71" operator="containsText" text="Tactical">
      <formula>NOT(ISERROR(SEARCH("Tactical",C25)))</formula>
    </cfRule>
    <cfRule type="cellIs" dxfId="112" priority="72" operator="equal">
      <formula>"Strategic"</formula>
    </cfRule>
  </conditionalFormatting>
  <conditionalFormatting sqref="B35:B40">
    <cfRule type="containsText" dxfId="111" priority="67" operator="containsText" text="Operational">
      <formula>NOT(ISERROR(SEARCH("Operational",B35)))</formula>
    </cfRule>
    <cfRule type="containsText" dxfId="110" priority="68" operator="containsText" text="Tactical">
      <formula>NOT(ISERROR(SEARCH("Tactical",B35)))</formula>
    </cfRule>
    <cfRule type="cellIs" dxfId="109" priority="69" operator="equal">
      <formula>"Strategic"</formula>
    </cfRule>
  </conditionalFormatting>
  <conditionalFormatting sqref="C34:M34">
    <cfRule type="containsText" dxfId="108" priority="64" operator="containsText" text="Operational">
      <formula>NOT(ISERROR(SEARCH("Operational",C34)))</formula>
    </cfRule>
    <cfRule type="containsText" dxfId="107" priority="65" operator="containsText" text="Tactical">
      <formula>NOT(ISERROR(SEARCH("Tactical",C34)))</formula>
    </cfRule>
    <cfRule type="cellIs" dxfId="106" priority="66" operator="equal">
      <formula>"Strategic"</formula>
    </cfRule>
  </conditionalFormatting>
  <conditionalFormatting sqref="C35:M40">
    <cfRule type="containsText" dxfId="105" priority="61" operator="containsText" text="Operational">
      <formula>NOT(ISERROR(SEARCH("Operational",C35)))</formula>
    </cfRule>
    <cfRule type="containsText" dxfId="104" priority="62" operator="containsText" text="Tactical">
      <formula>NOT(ISERROR(SEARCH("Tactical",C35)))</formula>
    </cfRule>
    <cfRule type="cellIs" dxfId="103" priority="63" operator="equal">
      <formula>"Strategic"</formula>
    </cfRule>
  </conditionalFormatting>
  <conditionalFormatting sqref="N35:N40">
    <cfRule type="containsText" dxfId="102" priority="58" operator="containsText" text="Operational">
      <formula>NOT(ISERROR(SEARCH("Operational",N35)))</formula>
    </cfRule>
    <cfRule type="containsText" dxfId="101" priority="59" operator="containsText" text="Tactical">
      <formula>NOT(ISERROR(SEARCH("Tactical",N35)))</formula>
    </cfRule>
    <cfRule type="cellIs" dxfId="100" priority="60" operator="equal">
      <formula>"Strategic"</formula>
    </cfRule>
  </conditionalFormatting>
  <conditionalFormatting sqref="C48:M48">
    <cfRule type="containsText" dxfId="99" priority="55" operator="containsText" text="Operational">
      <formula>NOT(ISERROR(SEARCH("Operational",C48)))</formula>
    </cfRule>
    <cfRule type="containsText" dxfId="98" priority="56" operator="containsText" text="Tactical">
      <formula>NOT(ISERROR(SEARCH("Tactical",C48)))</formula>
    </cfRule>
    <cfRule type="cellIs" dxfId="97" priority="57" operator="equal">
      <formula>"Strategic"</formula>
    </cfRule>
  </conditionalFormatting>
  <conditionalFormatting sqref="B49:B56">
    <cfRule type="containsText" dxfId="96" priority="52" operator="containsText" text="Operational">
      <formula>NOT(ISERROR(SEARCH("Operational",B49)))</formula>
    </cfRule>
    <cfRule type="containsText" dxfId="95" priority="53" operator="containsText" text="Tactical">
      <formula>NOT(ISERROR(SEARCH("Tactical",B49)))</formula>
    </cfRule>
    <cfRule type="cellIs" dxfId="94" priority="54" operator="equal">
      <formula>"Strategic"</formula>
    </cfRule>
  </conditionalFormatting>
  <conditionalFormatting sqref="C49:M56">
    <cfRule type="containsText" dxfId="93" priority="49" operator="containsText" text="Operational">
      <formula>NOT(ISERROR(SEARCH("Operational",C49)))</formula>
    </cfRule>
    <cfRule type="containsText" dxfId="92" priority="50" operator="containsText" text="Tactical">
      <formula>NOT(ISERROR(SEARCH("Tactical",C49)))</formula>
    </cfRule>
    <cfRule type="cellIs" dxfId="91" priority="51" operator="equal">
      <formula>"Strategic"</formula>
    </cfRule>
  </conditionalFormatting>
  <conditionalFormatting sqref="B72">
    <cfRule type="containsText" dxfId="90" priority="28" operator="containsText" text="Operational">
      <formula>NOT(ISERROR(SEARCH("Operational",B72)))</formula>
    </cfRule>
    <cfRule type="containsText" dxfId="89" priority="29" operator="containsText" text="Tactical">
      <formula>NOT(ISERROR(SEARCH("Tactical",B72)))</formula>
    </cfRule>
    <cfRule type="cellIs" dxfId="88" priority="30" operator="equal">
      <formula>"Strategic"</formula>
    </cfRule>
  </conditionalFormatting>
  <conditionalFormatting sqref="N49:N56">
    <cfRule type="containsText" dxfId="87" priority="43" operator="containsText" text="Operational">
      <formula>NOT(ISERROR(SEARCH("Operational",N49)))</formula>
    </cfRule>
    <cfRule type="containsText" dxfId="86" priority="44" operator="containsText" text="Tactical">
      <formula>NOT(ISERROR(SEARCH("Tactical",N49)))</formula>
    </cfRule>
    <cfRule type="cellIs" dxfId="85" priority="45" operator="equal">
      <formula>"Strategic"</formula>
    </cfRule>
  </conditionalFormatting>
  <conditionalFormatting sqref="B68">
    <cfRule type="containsText" dxfId="84" priority="40" operator="containsText" text="Operational">
      <formula>NOT(ISERROR(SEARCH("Operational",B68)))</formula>
    </cfRule>
    <cfRule type="containsText" dxfId="83" priority="41" operator="containsText" text="Tactical">
      <formula>NOT(ISERROR(SEARCH("Tactical",B68)))</formula>
    </cfRule>
    <cfRule type="cellIs" dxfId="82" priority="42" operator="equal">
      <formula>"Strategic"</formula>
    </cfRule>
  </conditionalFormatting>
  <conditionalFormatting sqref="B71">
    <cfRule type="containsText" dxfId="81" priority="37" operator="containsText" text="Operational">
      <formula>NOT(ISERROR(SEARCH("Operational",B71)))</formula>
    </cfRule>
    <cfRule type="containsText" dxfId="80" priority="38" operator="containsText" text="Tactical">
      <formula>NOT(ISERROR(SEARCH("Tactical",B71)))</formula>
    </cfRule>
    <cfRule type="cellIs" dxfId="79" priority="39" operator="equal">
      <formula>"Strategic"</formula>
    </cfRule>
  </conditionalFormatting>
  <conditionalFormatting sqref="B71">
    <cfRule type="containsText" dxfId="78" priority="34" operator="containsText" text="Operational">
      <formula>NOT(ISERROR(SEARCH("Operational",B71)))</formula>
    </cfRule>
    <cfRule type="containsText" dxfId="77" priority="35" operator="containsText" text="Tactical">
      <formula>NOT(ISERROR(SEARCH("Tactical",B71)))</formula>
    </cfRule>
    <cfRule type="cellIs" dxfId="76" priority="36" operator="equal">
      <formula>"Strategic"</formula>
    </cfRule>
  </conditionalFormatting>
  <conditionalFormatting sqref="B72">
    <cfRule type="containsText" dxfId="75" priority="31" operator="containsText" text="Operational">
      <formula>NOT(ISERROR(SEARCH("Operational",B72)))</formula>
    </cfRule>
    <cfRule type="containsText" dxfId="74" priority="32" operator="containsText" text="Tactical">
      <formula>NOT(ISERROR(SEARCH("Tactical",B72)))</formula>
    </cfRule>
    <cfRule type="cellIs" dxfId="73" priority="33" operator="equal">
      <formula>"Strategic"</formula>
    </cfRule>
  </conditionalFormatting>
  <conditionalFormatting sqref="N68:N84">
    <cfRule type="containsText" dxfId="72" priority="19" operator="containsText" text="Operational">
      <formula>NOT(ISERROR(SEARCH("Operational",N68)))</formula>
    </cfRule>
    <cfRule type="containsText" dxfId="71" priority="20" operator="containsText" text="Tactical">
      <formula>NOT(ISERROR(SEARCH("Tactical",N68)))</formula>
    </cfRule>
    <cfRule type="cellIs" dxfId="70" priority="21" operator="equal">
      <formula>"Strategic"</formula>
    </cfRule>
  </conditionalFormatting>
  <conditionalFormatting sqref="C67:M67">
    <cfRule type="containsText" dxfId="69" priority="25" operator="containsText" text="Operational">
      <formula>NOT(ISERROR(SEARCH("Operational",C67)))</formula>
    </cfRule>
    <cfRule type="containsText" dxfId="68" priority="26" operator="containsText" text="Tactical">
      <formula>NOT(ISERROR(SEARCH("Tactical",C67)))</formula>
    </cfRule>
    <cfRule type="cellIs" dxfId="67" priority="27" operator="equal">
      <formula>"Strategic"</formula>
    </cfRule>
  </conditionalFormatting>
  <conditionalFormatting sqref="C68:M84">
    <cfRule type="containsText" dxfId="66" priority="22" operator="containsText" text="Operational">
      <formula>NOT(ISERROR(SEARCH("Operational",C68)))</formula>
    </cfRule>
    <cfRule type="containsText" dxfId="65" priority="23" operator="containsText" text="Tactical">
      <formula>NOT(ISERROR(SEARCH("Tactical",C68)))</formula>
    </cfRule>
    <cfRule type="cellIs" dxfId="64" priority="24" operator="equal">
      <formula>"Strategic"</formula>
    </cfRule>
  </conditionalFormatting>
  <conditionalFormatting sqref="H90:H97">
    <cfRule type="containsText" dxfId="63" priority="16" operator="containsText" text="Operational">
      <formula>NOT(ISERROR(SEARCH("Operational",H90)))</formula>
    </cfRule>
    <cfRule type="containsText" dxfId="62" priority="17" operator="containsText" text="Tactical">
      <formula>NOT(ISERROR(SEARCH("Tactical",H90)))</formula>
    </cfRule>
    <cfRule type="cellIs" dxfId="61" priority="18" operator="equal">
      <formula>"Strategic"</formula>
    </cfRule>
  </conditionalFormatting>
  <conditionalFormatting sqref="I98:N98">
    <cfRule type="containsText" dxfId="60" priority="13" operator="containsText" text="Operational">
      <formula>NOT(ISERROR(SEARCH("Operational",I98)))</formula>
    </cfRule>
    <cfRule type="containsText" dxfId="59" priority="14" operator="containsText" text="Tactical">
      <formula>NOT(ISERROR(SEARCH("Tactical",I98)))</formula>
    </cfRule>
    <cfRule type="cellIs" dxfId="58" priority="15" operator="equal">
      <formula>"Strategic"</formula>
    </cfRule>
  </conditionalFormatting>
  <conditionalFormatting sqref="B98:D98">
    <cfRule type="containsText" dxfId="57" priority="10" operator="containsText" text="Operational">
      <formula>NOT(ISERROR(SEARCH("Operational",B98)))</formula>
    </cfRule>
    <cfRule type="containsText" dxfId="56" priority="11" operator="containsText" text="Tactical">
      <formula>NOT(ISERROR(SEARCH("Tactical",B98)))</formula>
    </cfRule>
    <cfRule type="cellIs" dxfId="55" priority="12" operator="equal">
      <formula>"Strategic"</formula>
    </cfRule>
  </conditionalFormatting>
  <conditionalFormatting sqref="E98:G98">
    <cfRule type="containsText" dxfId="54" priority="7" operator="containsText" text="Operational">
      <formula>NOT(ISERROR(SEARCH("Operational",E98)))</formula>
    </cfRule>
    <cfRule type="containsText" dxfId="53" priority="8" operator="containsText" text="Tactical">
      <formula>NOT(ISERROR(SEARCH("Tactical",E98)))</formula>
    </cfRule>
    <cfRule type="cellIs" dxfId="52" priority="9" operator="equal">
      <formula>"Strategic"</formula>
    </cfRule>
  </conditionalFormatting>
  <conditionalFormatting sqref="C41:M41">
    <cfRule type="containsText" dxfId="51" priority="1" operator="containsText" text="Operational">
      <formula>NOT(ISERROR(SEARCH("Operational",C41)))</formula>
    </cfRule>
    <cfRule type="containsText" dxfId="50" priority="2" operator="containsText" text="Tactical">
      <formula>NOT(ISERROR(SEARCH("Tactical",C41)))</formula>
    </cfRule>
    <cfRule type="cellIs" dxfId="49" priority="3" operator="equal">
      <formula>"Strategic"</formula>
    </cfRule>
  </conditionalFormatting>
  <conditionalFormatting sqref="C28:M28">
    <cfRule type="containsText" dxfId="48" priority="4" operator="containsText" text="Operational">
      <formula>NOT(ISERROR(SEARCH("Operational",C28)))</formula>
    </cfRule>
    <cfRule type="containsText" dxfId="47" priority="5" operator="containsText" text="Tactical">
      <formula>NOT(ISERROR(SEARCH("Tactical",C28)))</formula>
    </cfRule>
    <cfRule type="cellIs" dxfId="46" priority="6" operator="equal">
      <formula>"Strategic"</formula>
    </cfRule>
  </conditionalFormatting>
  <pageMargins left="0.7" right="0.7" top="0.75" bottom="0.75" header="0.3" footer="0.3"/>
  <pageSetup paperSize="9"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2"/>
  <sheetViews>
    <sheetView zoomScale="125" zoomScaleNormal="125" zoomScalePageLayoutView="125" workbookViewId="0">
      <selection activeCell="H47" sqref="H47"/>
    </sheetView>
  </sheetViews>
  <sheetFormatPr baseColWidth="10" defaultRowHeight="17" x14ac:dyDescent="0.2"/>
  <cols>
    <col min="1" max="1" width="1.83203125" style="2" customWidth="1"/>
    <col min="2" max="2" width="26" style="114" customWidth="1"/>
    <col min="3" max="3" width="26" style="112" customWidth="1"/>
    <col min="4" max="4" width="26" style="114" customWidth="1"/>
    <col min="5" max="5" width="26.33203125" style="123" customWidth="1"/>
    <col min="6" max="6" width="2" style="22" customWidth="1"/>
    <col min="7" max="7" width="11.83203125" style="2" customWidth="1"/>
    <col min="8" max="8" width="26" style="2" customWidth="1"/>
    <col min="9" max="9" width="11.83203125" style="2" customWidth="1"/>
    <col min="10" max="10" width="26" style="2" customWidth="1"/>
    <col min="11" max="16384" width="10.83203125" style="2"/>
  </cols>
  <sheetData>
    <row r="2" spans="2:6" ht="16" x14ac:dyDescent="0.2">
      <c r="B2" s="115" t="s">
        <v>463</v>
      </c>
      <c r="C2" s="120"/>
      <c r="D2" s="115" t="s">
        <v>464</v>
      </c>
      <c r="E2" s="124"/>
      <c r="F2" s="104"/>
    </row>
    <row r="3" spans="2:6" ht="16" x14ac:dyDescent="0.2">
      <c r="B3" s="116">
        <v>191</v>
      </c>
      <c r="C3" s="121" t="s">
        <v>346</v>
      </c>
      <c r="D3" s="119">
        <v>33</v>
      </c>
      <c r="E3" s="121" t="s">
        <v>407</v>
      </c>
      <c r="F3" s="79"/>
    </row>
    <row r="4" spans="2:6" ht="16" x14ac:dyDescent="0.2">
      <c r="B4" s="116">
        <v>134</v>
      </c>
      <c r="C4" s="121" t="s">
        <v>347</v>
      </c>
      <c r="D4" s="119">
        <v>31.833333333333332</v>
      </c>
      <c r="E4" s="121" t="s">
        <v>346</v>
      </c>
      <c r="F4" s="79"/>
    </row>
    <row r="5" spans="2:6" ht="16" x14ac:dyDescent="0.2">
      <c r="B5" s="116">
        <v>83</v>
      </c>
      <c r="C5" s="121" t="s">
        <v>348</v>
      </c>
      <c r="D5" s="119">
        <v>16.75</v>
      </c>
      <c r="E5" s="121" t="s">
        <v>347</v>
      </c>
      <c r="F5" s="79"/>
    </row>
    <row r="6" spans="2:6" ht="16" x14ac:dyDescent="0.2">
      <c r="B6" s="116">
        <v>67</v>
      </c>
      <c r="C6" s="121" t="s">
        <v>349</v>
      </c>
      <c r="D6" s="119">
        <v>13</v>
      </c>
      <c r="E6" s="121" t="s">
        <v>357</v>
      </c>
      <c r="F6" s="79"/>
    </row>
    <row r="7" spans="2:6" ht="16" x14ac:dyDescent="0.2">
      <c r="B7" s="116">
        <v>55</v>
      </c>
      <c r="C7" s="121" t="s">
        <v>350</v>
      </c>
      <c r="D7" s="119">
        <v>11.857142857142858</v>
      </c>
      <c r="E7" s="121" t="s">
        <v>348</v>
      </c>
      <c r="F7" s="79"/>
    </row>
    <row r="8" spans="2:6" ht="16" x14ac:dyDescent="0.2">
      <c r="B8" s="116">
        <v>53</v>
      </c>
      <c r="C8" s="121" t="s">
        <v>385</v>
      </c>
      <c r="D8" s="119">
        <v>11.166666666666666</v>
      </c>
      <c r="E8" s="121" t="s">
        <v>349</v>
      </c>
      <c r="F8" s="79"/>
    </row>
    <row r="9" spans="2:6" ht="16" x14ac:dyDescent="0.2">
      <c r="B9" s="116">
        <v>39</v>
      </c>
      <c r="C9" s="121" t="s">
        <v>357</v>
      </c>
      <c r="D9" s="119">
        <v>9.1666666666666661</v>
      </c>
      <c r="E9" s="121" t="s">
        <v>350</v>
      </c>
      <c r="F9" s="79"/>
    </row>
    <row r="10" spans="2:6" ht="16" x14ac:dyDescent="0.2">
      <c r="B10" s="116">
        <v>33</v>
      </c>
      <c r="C10" s="121" t="s">
        <v>407</v>
      </c>
      <c r="D10" s="119">
        <v>8.8333333333333339</v>
      </c>
      <c r="E10" s="121" t="s">
        <v>385</v>
      </c>
      <c r="F10" s="79"/>
    </row>
    <row r="11" spans="2:6" ht="16" x14ac:dyDescent="0.2">
      <c r="B11" s="116">
        <v>23</v>
      </c>
      <c r="C11" s="121" t="s">
        <v>378</v>
      </c>
      <c r="D11" s="119">
        <v>7</v>
      </c>
      <c r="E11" s="121" t="s">
        <v>377</v>
      </c>
      <c r="F11" s="79"/>
    </row>
    <row r="12" spans="2:6" ht="16" x14ac:dyDescent="0.2">
      <c r="B12" s="116">
        <v>16</v>
      </c>
      <c r="C12" s="121" t="s">
        <v>379</v>
      </c>
      <c r="D12" s="119">
        <v>4.5999999999999996</v>
      </c>
      <c r="E12" s="121" t="s">
        <v>378</v>
      </c>
      <c r="F12" s="79"/>
    </row>
    <row r="13" spans="2:6" x14ac:dyDescent="0.2">
      <c r="B13" s="117">
        <f>AVERAGE(B3:B12)</f>
        <v>69.400000000000006</v>
      </c>
      <c r="C13" s="122"/>
      <c r="D13" s="146">
        <f>AVERAGE(D3:D12)</f>
        <v>14.720714285714285</v>
      </c>
      <c r="E13" s="122"/>
    </row>
    <row r="15" spans="2:6" ht="16" x14ac:dyDescent="0.2">
      <c r="B15" s="115" t="s">
        <v>466</v>
      </c>
      <c r="C15" s="120"/>
      <c r="D15" s="115" t="s">
        <v>468</v>
      </c>
      <c r="E15" s="124"/>
      <c r="F15" s="104"/>
    </row>
    <row r="16" spans="2:6" ht="16" x14ac:dyDescent="0.2">
      <c r="B16" s="118">
        <v>420</v>
      </c>
      <c r="C16" s="121" t="s">
        <v>471</v>
      </c>
      <c r="D16" s="119">
        <v>108</v>
      </c>
      <c r="E16" s="121" t="s">
        <v>335</v>
      </c>
      <c r="F16" s="79"/>
    </row>
    <row r="17" spans="2:6" ht="16" x14ac:dyDescent="0.2">
      <c r="B17" s="118">
        <v>324</v>
      </c>
      <c r="C17" s="121" t="s">
        <v>335</v>
      </c>
      <c r="D17" s="119">
        <v>105</v>
      </c>
      <c r="E17" s="121" t="s">
        <v>471</v>
      </c>
      <c r="F17" s="79"/>
    </row>
    <row r="18" spans="2:6" ht="16" x14ac:dyDescent="0.2">
      <c r="B18" s="118">
        <v>244</v>
      </c>
      <c r="C18" s="121" t="s">
        <v>344</v>
      </c>
      <c r="D18" s="119">
        <v>48.8</v>
      </c>
      <c r="E18" s="121" t="s">
        <v>344</v>
      </c>
      <c r="F18" s="79"/>
    </row>
    <row r="19" spans="2:6" ht="16" x14ac:dyDescent="0.2">
      <c r="B19" s="118">
        <v>233</v>
      </c>
      <c r="C19" s="121" t="s">
        <v>334</v>
      </c>
      <c r="D19" s="119">
        <v>38</v>
      </c>
      <c r="E19" s="121" t="s">
        <v>338</v>
      </c>
      <c r="F19" s="79"/>
    </row>
    <row r="20" spans="2:6" ht="16" x14ac:dyDescent="0.2">
      <c r="B20" s="116">
        <v>214</v>
      </c>
      <c r="C20" s="121" t="s">
        <v>386</v>
      </c>
      <c r="D20" s="119">
        <v>32.799999999999997</v>
      </c>
      <c r="E20" s="121" t="s">
        <v>337</v>
      </c>
      <c r="F20" s="79"/>
    </row>
    <row r="21" spans="2:6" ht="16" x14ac:dyDescent="0.2">
      <c r="B21" s="118">
        <v>190</v>
      </c>
      <c r="C21" s="121" t="s">
        <v>338</v>
      </c>
      <c r="D21" s="119">
        <v>29.125</v>
      </c>
      <c r="E21" s="121" t="s">
        <v>334</v>
      </c>
      <c r="F21" s="79"/>
    </row>
    <row r="22" spans="2:6" ht="16" x14ac:dyDescent="0.2">
      <c r="B22" s="118">
        <v>164</v>
      </c>
      <c r="C22" s="121" t="s">
        <v>336</v>
      </c>
      <c r="D22" s="119">
        <v>25</v>
      </c>
      <c r="E22" s="121" t="s">
        <v>408</v>
      </c>
      <c r="F22" s="79"/>
    </row>
    <row r="23" spans="2:6" ht="16" x14ac:dyDescent="0.2">
      <c r="B23" s="118">
        <v>164</v>
      </c>
      <c r="C23" s="121" t="s">
        <v>337</v>
      </c>
      <c r="D23" s="119">
        <v>23.777777777777779</v>
      </c>
      <c r="E23" s="121" t="s">
        <v>386</v>
      </c>
      <c r="F23" s="79"/>
    </row>
    <row r="24" spans="2:6" ht="16" x14ac:dyDescent="0.2">
      <c r="B24" s="118">
        <v>84</v>
      </c>
      <c r="C24" s="121" t="s">
        <v>340</v>
      </c>
      <c r="D24" s="119">
        <v>20.5</v>
      </c>
      <c r="E24" s="121" t="s">
        <v>336</v>
      </c>
      <c r="F24" s="79"/>
    </row>
    <row r="25" spans="2:6" ht="16" x14ac:dyDescent="0.2">
      <c r="B25" s="118">
        <v>72</v>
      </c>
      <c r="C25" s="121" t="s">
        <v>342</v>
      </c>
      <c r="D25" s="119">
        <v>19</v>
      </c>
      <c r="E25" s="121" t="s">
        <v>409</v>
      </c>
      <c r="F25" s="79"/>
    </row>
    <row r="26" spans="2:6" x14ac:dyDescent="0.2">
      <c r="B26" s="117">
        <f>AVERAGE(B16:B25)</f>
        <v>210.9</v>
      </c>
      <c r="C26" s="122"/>
      <c r="D26" s="146">
        <f>AVERAGE(D16:D25)</f>
        <v>45.000277777777782</v>
      </c>
      <c r="E26" s="122"/>
    </row>
    <row r="28" spans="2:6" ht="16" x14ac:dyDescent="0.2">
      <c r="B28" s="115" t="s">
        <v>465</v>
      </c>
      <c r="C28" s="120"/>
      <c r="D28" s="115" t="s">
        <v>469</v>
      </c>
      <c r="E28" s="124"/>
    </row>
    <row r="29" spans="2:6" ht="16" x14ac:dyDescent="0.2">
      <c r="B29" s="118">
        <v>578</v>
      </c>
      <c r="C29" s="121" t="s">
        <v>331</v>
      </c>
      <c r="D29" s="119">
        <v>96.333333333333329</v>
      </c>
      <c r="E29" s="121" t="s">
        <v>331</v>
      </c>
    </row>
    <row r="30" spans="2:6" ht="16" x14ac:dyDescent="0.2">
      <c r="B30" s="118">
        <v>261</v>
      </c>
      <c r="C30" s="121" t="s">
        <v>333</v>
      </c>
      <c r="D30" s="119">
        <v>52.2</v>
      </c>
      <c r="E30" s="121" t="s">
        <v>333</v>
      </c>
    </row>
    <row r="31" spans="2:6" ht="16" x14ac:dyDescent="0.2">
      <c r="B31" s="118">
        <v>102</v>
      </c>
      <c r="C31" s="121" t="s">
        <v>339</v>
      </c>
      <c r="D31" s="119">
        <v>20.399999999999999</v>
      </c>
      <c r="E31" s="121" t="s">
        <v>339</v>
      </c>
    </row>
    <row r="32" spans="2:6" ht="16" x14ac:dyDescent="0.2">
      <c r="B32" s="118">
        <v>101</v>
      </c>
      <c r="C32" s="121" t="s">
        <v>341</v>
      </c>
      <c r="D32" s="119">
        <v>20.2</v>
      </c>
      <c r="E32" s="121" t="s">
        <v>341</v>
      </c>
    </row>
    <row r="33" spans="2:5" ht="16" x14ac:dyDescent="0.2">
      <c r="B33" s="118">
        <v>64</v>
      </c>
      <c r="C33" s="121" t="s">
        <v>355</v>
      </c>
      <c r="D33" s="119">
        <v>19</v>
      </c>
      <c r="E33" s="121" t="s">
        <v>380</v>
      </c>
    </row>
    <row r="34" spans="2:5" ht="16" x14ac:dyDescent="0.2">
      <c r="B34" s="116">
        <v>63</v>
      </c>
      <c r="C34" s="121" t="s">
        <v>359</v>
      </c>
      <c r="D34" s="119">
        <v>15.75</v>
      </c>
      <c r="E34" s="121" t="s">
        <v>359</v>
      </c>
    </row>
    <row r="35" spans="2:5" ht="16" x14ac:dyDescent="0.2">
      <c r="B35" s="116">
        <v>57</v>
      </c>
      <c r="C35" s="121" t="s">
        <v>380</v>
      </c>
      <c r="D35" s="119">
        <v>13.25</v>
      </c>
      <c r="E35" s="121" t="s">
        <v>381</v>
      </c>
    </row>
    <row r="36" spans="2:5" ht="16" x14ac:dyDescent="0.2">
      <c r="B36" s="116">
        <v>53</v>
      </c>
      <c r="C36" s="121" t="s">
        <v>381</v>
      </c>
      <c r="D36" s="119">
        <v>11</v>
      </c>
      <c r="E36" s="121" t="s">
        <v>371</v>
      </c>
    </row>
    <row r="37" spans="2:5" ht="16" x14ac:dyDescent="0.2">
      <c r="B37" s="116">
        <v>52</v>
      </c>
      <c r="C37" s="121" t="s">
        <v>384</v>
      </c>
      <c r="D37" s="119">
        <v>10.4</v>
      </c>
      <c r="E37" s="121" t="s">
        <v>384</v>
      </c>
    </row>
    <row r="38" spans="2:5" ht="16" x14ac:dyDescent="0.2">
      <c r="B38" s="116">
        <v>50</v>
      </c>
      <c r="C38" s="121" t="s">
        <v>388</v>
      </c>
      <c r="D38" s="119">
        <v>10</v>
      </c>
      <c r="E38" s="121" t="s">
        <v>372</v>
      </c>
    </row>
    <row r="39" spans="2:5" x14ac:dyDescent="0.2">
      <c r="B39" s="117">
        <f>AVERAGE(B29:B38)</f>
        <v>138.1</v>
      </c>
      <c r="C39" s="122"/>
      <c r="D39" s="146">
        <f>AVERAGE(D29:D38)</f>
        <v>26.853333333333332</v>
      </c>
      <c r="E39" s="122"/>
    </row>
    <row r="41" spans="2:5" ht="16" x14ac:dyDescent="0.2">
      <c r="B41" s="115" t="s">
        <v>467</v>
      </c>
      <c r="C41" s="124"/>
      <c r="D41" s="147" t="s">
        <v>470</v>
      </c>
      <c r="E41" s="124"/>
    </row>
    <row r="42" spans="2:5" ht="16" x14ac:dyDescent="0.2">
      <c r="B42" s="118">
        <v>314</v>
      </c>
      <c r="C42" s="121" t="s">
        <v>332</v>
      </c>
      <c r="D42" s="148">
        <v>31.4</v>
      </c>
      <c r="E42" s="121" t="s">
        <v>332</v>
      </c>
    </row>
    <row r="43" spans="2:5" ht="16" x14ac:dyDescent="0.2">
      <c r="B43" s="118">
        <v>75</v>
      </c>
      <c r="C43" s="121" t="s">
        <v>351</v>
      </c>
      <c r="D43" s="148">
        <v>21.333333333333332</v>
      </c>
      <c r="E43" s="121" t="s">
        <v>354</v>
      </c>
    </row>
    <row r="44" spans="2:5" ht="16" x14ac:dyDescent="0.2">
      <c r="B44" s="118">
        <v>64</v>
      </c>
      <c r="C44" s="121" t="s">
        <v>354</v>
      </c>
      <c r="D44" s="148">
        <v>15.5</v>
      </c>
      <c r="E44" s="121" t="s">
        <v>472</v>
      </c>
    </row>
    <row r="45" spans="2:5" ht="16" x14ac:dyDescent="0.2">
      <c r="B45" s="118">
        <v>60</v>
      </c>
      <c r="C45" s="121" t="s">
        <v>352</v>
      </c>
      <c r="D45" s="148">
        <v>12.5</v>
      </c>
      <c r="E45" s="121" t="s">
        <v>351</v>
      </c>
    </row>
    <row r="46" spans="2:5" ht="16" x14ac:dyDescent="0.2">
      <c r="B46" s="118">
        <v>52</v>
      </c>
      <c r="C46" s="121" t="s">
        <v>383</v>
      </c>
      <c r="D46" s="148">
        <v>11.666666666666666</v>
      </c>
      <c r="E46" s="121" t="s">
        <v>358</v>
      </c>
    </row>
    <row r="47" spans="2:5" ht="16" x14ac:dyDescent="0.2">
      <c r="B47" s="118">
        <v>49</v>
      </c>
      <c r="C47" s="121" t="s">
        <v>353</v>
      </c>
      <c r="D47" s="148">
        <v>10</v>
      </c>
      <c r="E47" s="121" t="s">
        <v>356</v>
      </c>
    </row>
    <row r="48" spans="2:5" ht="16" x14ac:dyDescent="0.2">
      <c r="B48" s="118">
        <v>41</v>
      </c>
      <c r="C48" s="121" t="s">
        <v>387</v>
      </c>
      <c r="D48" s="148">
        <v>8.6666666666666661</v>
      </c>
      <c r="E48" s="121" t="s">
        <v>383</v>
      </c>
    </row>
    <row r="49" spans="2:5" ht="16" x14ac:dyDescent="0.2">
      <c r="B49" s="118">
        <v>41</v>
      </c>
      <c r="C49" s="121" t="s">
        <v>375</v>
      </c>
      <c r="D49" s="148">
        <v>8.5</v>
      </c>
      <c r="E49" s="121" t="s">
        <v>376</v>
      </c>
    </row>
    <row r="50" spans="2:5" ht="16" x14ac:dyDescent="0.2">
      <c r="B50" s="118">
        <v>37</v>
      </c>
      <c r="C50" s="121" t="s">
        <v>374</v>
      </c>
      <c r="D50" s="148">
        <v>7.4</v>
      </c>
      <c r="E50" s="121" t="s">
        <v>374</v>
      </c>
    </row>
    <row r="51" spans="2:5" ht="16" x14ac:dyDescent="0.2">
      <c r="B51" s="118">
        <v>35</v>
      </c>
      <c r="C51" s="121" t="s">
        <v>358</v>
      </c>
      <c r="D51" s="148">
        <v>6.833333333333333</v>
      </c>
      <c r="E51" s="121" t="s">
        <v>375</v>
      </c>
    </row>
    <row r="52" spans="2:5" x14ac:dyDescent="0.2">
      <c r="B52" s="117">
        <f>AVERAGE(B42:B51)</f>
        <v>76.8</v>
      </c>
      <c r="C52" s="122"/>
      <c r="D52" s="146">
        <f>AVERAGE(D42:D51)</f>
        <v>13.38</v>
      </c>
      <c r="E52" s="122"/>
    </row>
  </sheetData>
  <conditionalFormatting sqref="C3:C12">
    <cfRule type="containsText" dxfId="45" priority="745" operator="containsText" text="Operational">
      <formula>NOT(ISERROR(SEARCH("Operational",C3)))</formula>
    </cfRule>
    <cfRule type="containsText" dxfId="44" priority="746" operator="containsText" text="Tactical">
      <formula>NOT(ISERROR(SEARCH("Tactical",C3)))</formula>
    </cfRule>
    <cfRule type="cellIs" dxfId="43" priority="747" operator="equal">
      <formula>"Strategic"</formula>
    </cfRule>
  </conditionalFormatting>
  <conditionalFormatting sqref="C42:C51">
    <cfRule type="containsText" dxfId="42" priority="659" operator="containsText" text="Operational">
      <formula>NOT(ISERROR(SEARCH("Operational",C42)))</formula>
    </cfRule>
    <cfRule type="containsText" dxfId="41" priority="660" operator="containsText" text="Tactical">
      <formula>NOT(ISERROR(SEARCH("Tactical",C42)))</formula>
    </cfRule>
    <cfRule type="cellIs" dxfId="40" priority="661" operator="equal">
      <formula>"Strategic"</formula>
    </cfRule>
  </conditionalFormatting>
  <conditionalFormatting sqref="C43">
    <cfRule type="containsText" dxfId="39" priority="638" operator="containsText" text="Operational">
      <formula>NOT(ISERROR(SEARCH("Operational",C43)))</formula>
    </cfRule>
    <cfRule type="containsText" dxfId="38" priority="639" operator="containsText" text="Tactical">
      <formula>NOT(ISERROR(SEARCH("Tactical",C43)))</formula>
    </cfRule>
    <cfRule type="cellIs" dxfId="37" priority="640" operator="equal">
      <formula>"Strategic"</formula>
    </cfRule>
  </conditionalFormatting>
  <conditionalFormatting sqref="C16:C25">
    <cfRule type="containsText" dxfId="36" priority="591" operator="containsText" text="Operational">
      <formula>NOT(ISERROR(SEARCH("Operational",C16)))</formula>
    </cfRule>
    <cfRule type="containsText" dxfId="35" priority="592" operator="containsText" text="Tactical">
      <formula>NOT(ISERROR(SEARCH("Tactical",C16)))</formula>
    </cfRule>
    <cfRule type="cellIs" dxfId="34" priority="593" operator="equal">
      <formula>"Strategic"</formula>
    </cfRule>
  </conditionalFormatting>
  <conditionalFormatting sqref="E3:F12">
    <cfRule type="containsText" dxfId="33" priority="395" operator="containsText" text="Operational">
      <formula>NOT(ISERROR(SEARCH("Operational",E3)))</formula>
    </cfRule>
    <cfRule type="containsText" dxfId="32" priority="396" operator="containsText" text="Tactical">
      <formula>NOT(ISERROR(SEARCH("Tactical",E3)))</formula>
    </cfRule>
    <cfRule type="cellIs" dxfId="31" priority="397" operator="equal">
      <formula>"Strategic"</formula>
    </cfRule>
  </conditionalFormatting>
  <conditionalFormatting sqref="E16:E25 E42:E51">
    <cfRule type="cellIs" dxfId="30" priority="311" operator="equal">
      <formula>"Strategic"</formula>
    </cfRule>
  </conditionalFormatting>
  <conditionalFormatting sqref="B2">
    <cfRule type="containsText" dxfId="29" priority="30" operator="containsText" text="Operational">
      <formula>NOT(ISERROR(SEARCH("Operational",B2)))</formula>
    </cfRule>
    <cfRule type="containsText" dxfId="28" priority="31" operator="containsText" text="Tactical">
      <formula>NOT(ISERROR(SEARCH("Tactical",B2)))</formula>
    </cfRule>
    <cfRule type="cellIs" dxfId="27" priority="32" operator="equal">
      <formula>"Strategic"</formula>
    </cfRule>
  </conditionalFormatting>
  <conditionalFormatting sqref="D2">
    <cfRule type="containsText" dxfId="26" priority="27" operator="containsText" text="Operational">
      <formula>NOT(ISERROR(SEARCH("Operational",D2)))</formula>
    </cfRule>
    <cfRule type="containsText" dxfId="25" priority="28" operator="containsText" text="Tactical">
      <formula>NOT(ISERROR(SEARCH("Tactical",D2)))</formula>
    </cfRule>
    <cfRule type="cellIs" dxfId="24" priority="29" operator="equal">
      <formula>"Strategic"</formula>
    </cfRule>
  </conditionalFormatting>
  <conditionalFormatting sqref="D15">
    <cfRule type="containsText" dxfId="23" priority="18" operator="containsText" text="Operational">
      <formula>NOT(ISERROR(SEARCH("Operational",D15)))</formula>
    </cfRule>
    <cfRule type="containsText" dxfId="22" priority="19" operator="containsText" text="Tactical">
      <formula>NOT(ISERROR(SEARCH("Tactical",D15)))</formula>
    </cfRule>
    <cfRule type="cellIs" dxfId="21" priority="20" operator="equal">
      <formula>"Strategic"</formula>
    </cfRule>
  </conditionalFormatting>
  <conditionalFormatting sqref="B16:B25 B42:B51 B29:B38 B3:B12">
    <cfRule type="dataBar" priority="1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{36EC2F23-9F54-1448-B80D-33BE5883EDDC}</x14:id>
        </ext>
      </extLst>
    </cfRule>
  </conditionalFormatting>
  <conditionalFormatting sqref="D16:D25 D42:D51 D29:D38 D3:D12"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{516CA49C-81D0-CD4F-92A1-58962EBCD387}</x14:id>
        </ext>
      </extLst>
    </cfRule>
  </conditionalFormatting>
  <pageMargins left="0.7" right="0.7" top="0.75" bottom="0.75" header="0.3" footer="0.3"/>
  <pageSetup paperSize="9"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6EC2F23-9F54-1448-B80D-33BE5883EDD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B16:B25 B42:B51 B29:B38 B3:B12</xm:sqref>
        </x14:conditionalFormatting>
        <x14:conditionalFormatting xmlns:xm="http://schemas.microsoft.com/office/excel/2006/main">
          <x14:cfRule type="dataBar" id="{516CA49C-81D0-CD4F-92A1-58962EBCD38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D16:D25 D42:D51 D29:D38 D3:D12</xm:sqref>
        </x14:conditionalFormatting>
        <x14:conditionalFormatting xmlns:xm="http://schemas.microsoft.com/office/excel/2006/main">
          <x14:cfRule type="containsText" priority="6717" operator="containsText" text="Operational" id="{3BB166DE-A7A4-5945-B8E9-9F5A19FCE3B8}">
            <xm:f>NOT(ISERROR(SEARCH("Operational",'SOTA full paper filtered'!P26)))</xm:f>
            <x14:dxf>
              <font>
                <b/>
                <i val="0"/>
                <strike val="0"/>
                <color theme="1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6718" operator="containsText" text="Tactical" id="{5DDC5FB9-D522-6E44-AF08-8364623766F5}">
            <xm:f>NOT(ISERROR(SEARCH("Tactical",'SOTA full paper filtered'!P26)))</xm:f>
            <x14:dxf>
              <font>
                <b/>
                <i val="0"/>
                <color theme="0"/>
              </font>
              <fill>
                <patternFill patternType="solid">
                  <fgColor indexed="64"/>
                  <bgColor theme="8" tint="0.39997558519241921"/>
                </patternFill>
              </fill>
            </x14:dxf>
          </x14:cfRule>
          <xm:sqref>E42:E51</xm:sqref>
        </x14:conditionalFormatting>
        <x14:conditionalFormatting xmlns:xm="http://schemas.microsoft.com/office/excel/2006/main">
          <x14:cfRule type="containsText" priority="6765" operator="containsText" text="Operational" id="{3BB166DE-A7A4-5945-B8E9-9F5A19FCE3B8}">
            <xm:f>NOT(ISERROR(SEARCH("Operational",'SOTA full paper filtered'!#REF!)))</xm:f>
            <x14:dxf>
              <font>
                <b/>
                <i val="0"/>
                <strike val="0"/>
                <color theme="1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6766" operator="containsText" text="Tactical" id="{5DDC5FB9-D522-6E44-AF08-8364623766F5}">
            <xm:f>NOT(ISERROR(SEARCH("Tactical",'SOTA full paper filtered'!#REF!)))</xm:f>
            <x14:dxf>
              <font>
                <b/>
                <i val="0"/>
                <color theme="0"/>
              </font>
              <fill>
                <patternFill patternType="solid">
                  <fgColor indexed="64"/>
                  <bgColor theme="8" tint="0.39997558519241921"/>
                </patternFill>
              </fill>
            </x14:dxf>
          </x14:cfRule>
          <xm:sqref>E16:E19</xm:sqref>
        </x14:conditionalFormatting>
        <x14:conditionalFormatting xmlns:xm="http://schemas.microsoft.com/office/excel/2006/main">
          <x14:cfRule type="containsText" priority="6767" operator="containsText" text="Operational" id="{3BB166DE-A7A4-5945-B8E9-9F5A19FCE3B8}">
            <xm:f>NOT(ISERROR(SEARCH("Operational",'SOTA full paper filtered'!P3)))</xm:f>
            <x14:dxf>
              <font>
                <b/>
                <i val="0"/>
                <strike val="0"/>
                <color theme="1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6768" operator="containsText" text="Tactical" id="{5DDC5FB9-D522-6E44-AF08-8364623766F5}">
            <xm:f>NOT(ISERROR(SEARCH("Tactical",'SOTA full paper filtered'!P3)))</xm:f>
            <x14:dxf>
              <font>
                <b/>
                <i val="0"/>
                <color theme="0"/>
              </font>
              <fill>
                <patternFill patternType="solid">
                  <fgColor indexed="64"/>
                  <bgColor theme="8" tint="0.39997558519241921"/>
                </patternFill>
              </fill>
            </x14:dxf>
          </x14:cfRule>
          <xm:sqref>E20:E25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59999389629810485"/>
  </sheetPr>
  <dimension ref="B2:Z110"/>
  <sheetViews>
    <sheetView zoomScale="125" zoomScaleNormal="125" zoomScalePageLayoutView="125" workbookViewId="0">
      <selection activeCell="G122" sqref="G122"/>
    </sheetView>
  </sheetViews>
  <sheetFormatPr baseColWidth="10" defaultRowHeight="16" x14ac:dyDescent="0.2"/>
  <cols>
    <col min="1" max="1" width="1.33203125" style="2" customWidth="1"/>
    <col min="2" max="2" width="37.83203125" style="93" customWidth="1"/>
    <col min="3" max="3" width="15.5" style="2" customWidth="1"/>
    <col min="4" max="6" width="10.83203125" style="2" customWidth="1"/>
    <col min="7" max="10" width="10.83203125" style="2"/>
    <col min="11" max="11" width="45" style="2" customWidth="1"/>
    <col min="12" max="16384" width="10.83203125" style="2"/>
  </cols>
  <sheetData>
    <row r="2" spans="2:26" ht="18" x14ac:dyDescent="0.2">
      <c r="B2" s="91" t="s">
        <v>486</v>
      </c>
    </row>
    <row r="4" spans="2:26" ht="17" thickBot="1" x14ac:dyDescent="0.25">
      <c r="B4" s="106" t="s">
        <v>142</v>
      </c>
      <c r="C4" s="107" t="s">
        <v>135</v>
      </c>
      <c r="D4" s="108" t="s">
        <v>315</v>
      </c>
      <c r="E4" s="108" t="s">
        <v>139</v>
      </c>
      <c r="F4" s="109" t="s">
        <v>138</v>
      </c>
      <c r="G4" s="110" t="s">
        <v>137</v>
      </c>
      <c r="K4" s="2" t="s">
        <v>489</v>
      </c>
      <c r="M4" s="108" t="s">
        <v>315</v>
      </c>
      <c r="N4" s="108" t="s">
        <v>139</v>
      </c>
      <c r="O4" s="109" t="s">
        <v>138</v>
      </c>
      <c r="P4" s="110" t="s">
        <v>137</v>
      </c>
    </row>
    <row r="5" spans="2:26" ht="17" thickBot="1" x14ac:dyDescent="0.25">
      <c r="B5" s="111" t="s">
        <v>2</v>
      </c>
      <c r="C5" s="112">
        <f>COUNTIF('SOTA full paper filtered'!$B$5:$B$196,"Journal of Cleaner Production")</f>
        <v>35</v>
      </c>
      <c r="D5" s="113">
        <f>COUNTIFS('SOTA full paper filtered'!B5:B197,"Journal of Cleaner Production",'SOTA full paper filtered'!D5:D197,"metalevel")</f>
        <v>5</v>
      </c>
      <c r="E5" s="113">
        <f>COUNTIFS('SOTA full paper filtered'!B5:B197,"Journal of Cleaner Production",'SOTA full paper filtered'!D5:D197,"strategic")</f>
        <v>19</v>
      </c>
      <c r="F5" s="113">
        <f>COUNTIFS('SOTA full paper filtered'!B5:B197,"Journal of Cleaner Production",'SOTA full paper filtered'!D5:D197,"tactical")</f>
        <v>4</v>
      </c>
      <c r="G5" s="113">
        <f>COUNTIFS('SOTA full paper filtered'!B5:B197,"Journal of Cleaner Production",'SOTA full paper filtered'!D5:D197,"operational")</f>
        <v>7</v>
      </c>
      <c r="K5" s="111" t="s">
        <v>477</v>
      </c>
      <c r="L5" s="112">
        <v>34</v>
      </c>
      <c r="M5" s="113">
        <v>5</v>
      </c>
      <c r="N5" s="113">
        <v>19</v>
      </c>
      <c r="O5" s="113">
        <v>4</v>
      </c>
      <c r="P5" s="113">
        <v>7</v>
      </c>
      <c r="W5" s="110" t="s">
        <v>137</v>
      </c>
      <c r="X5" s="109" t="s">
        <v>138</v>
      </c>
      <c r="Y5" s="108" t="s">
        <v>139</v>
      </c>
      <c r="Z5" s="108" t="s">
        <v>315</v>
      </c>
    </row>
    <row r="6" spans="2:26" ht="17" thickBot="1" x14ac:dyDescent="0.25">
      <c r="B6" s="111" t="s">
        <v>3</v>
      </c>
      <c r="C6" s="112">
        <f>COUNTIF('SOTA full paper filtered'!$B$5:$B$196,"Journal of Manufacturing Technology Management")</f>
        <v>7</v>
      </c>
      <c r="D6" s="113">
        <f>COUNTIFS('SOTA full paper filtered'!B5:B197,"Journal of Manufacturing Technology Management",'SOTA full paper filtered'!D5:D197,"metalevel")</f>
        <v>0</v>
      </c>
      <c r="E6" s="113">
        <f>COUNTIFS('SOTA full paper filtered'!B5:B197,"Journal of Manufacturing Technology Management",'SOTA full paper filtered'!D5:D197,"strategic")</f>
        <v>0</v>
      </c>
      <c r="F6" s="113">
        <f>COUNTIFS('SOTA full paper filtered'!B5:B197,"Journal of Manufacturing Technology Management",'SOTA full paper filtered'!D5:D197,"tactical")</f>
        <v>3</v>
      </c>
      <c r="G6" s="113">
        <f>COUNTIFS('SOTA full paper filtered'!B5:B197,"Journal of Manufacturing Technology Management",'SOTA full paper filtered'!D5:D197,"operational")</f>
        <v>4</v>
      </c>
      <c r="K6" s="111" t="s">
        <v>478</v>
      </c>
      <c r="L6" s="112">
        <v>7</v>
      </c>
      <c r="M6" s="113">
        <v>0</v>
      </c>
      <c r="N6" s="113">
        <v>0</v>
      </c>
      <c r="O6" s="113">
        <v>3</v>
      </c>
      <c r="P6" s="113">
        <v>4</v>
      </c>
      <c r="V6" s="111" t="s">
        <v>30</v>
      </c>
      <c r="W6" s="113">
        <v>0</v>
      </c>
      <c r="X6" s="113">
        <v>2</v>
      </c>
      <c r="Y6" s="113">
        <v>1</v>
      </c>
      <c r="Z6" s="113">
        <v>0</v>
      </c>
    </row>
    <row r="7" spans="2:26" ht="17" thickBot="1" x14ac:dyDescent="0.25">
      <c r="B7" s="111" t="s">
        <v>28</v>
      </c>
      <c r="C7" s="112">
        <f>COUNTIF('SOTA full paper filtered'!$B$5:$B$197,"Supply Chain Management")</f>
        <v>7</v>
      </c>
      <c r="D7" s="113">
        <f>COUNTIFS('SOTA full paper filtered'!B5:B197,"Supply chain management",'SOTA full paper filtered'!D5:D197,"metalevel")</f>
        <v>0</v>
      </c>
      <c r="E7" s="113">
        <f>COUNTIFS('SOTA full paper filtered'!B5:B197,"Supply chain management",'SOTA full paper filtered'!D5:D197,"strategic")</f>
        <v>2</v>
      </c>
      <c r="F7" s="113">
        <f>COUNTIFS('SOTA full paper filtered'!B5:B197,"Supply chain management",'SOTA full paper filtered'!D5:D197,"tactical")</f>
        <v>5</v>
      </c>
      <c r="G7" s="113">
        <f>COUNTIFS('SOTA full paper filtered'!B5:B197,"Supply chain management",'SOTA full paper filtered'!D5:D197,"operational")</f>
        <v>0</v>
      </c>
      <c r="K7" s="111" t="s">
        <v>479</v>
      </c>
      <c r="L7" s="112">
        <v>7</v>
      </c>
      <c r="M7" s="113">
        <v>0</v>
      </c>
      <c r="N7" s="113">
        <v>2</v>
      </c>
      <c r="O7" s="113">
        <v>5</v>
      </c>
      <c r="P7" s="113">
        <v>0</v>
      </c>
      <c r="V7" s="111" t="s">
        <v>98</v>
      </c>
      <c r="W7" s="113">
        <v>1</v>
      </c>
      <c r="X7" s="113">
        <v>1</v>
      </c>
      <c r="Y7" s="113">
        <v>1</v>
      </c>
      <c r="Z7" s="113">
        <v>0</v>
      </c>
    </row>
    <row r="8" spans="2:26" ht="17" thickBot="1" x14ac:dyDescent="0.25">
      <c r="B8" s="111" t="s">
        <v>102</v>
      </c>
      <c r="C8" s="112">
        <f>COUNTIF('SOTA full paper filtered'!$B$5:$B$196,"International Journal of Sustainable Engineering")</f>
        <v>6</v>
      </c>
      <c r="D8" s="113">
        <f>COUNTIFS('SOTA full paper filtered'!B5:B197,"International Journal of Sustainable Engineering",'SOTA full paper filtered'!D5:D197,"metalevel")</f>
        <v>2</v>
      </c>
      <c r="E8" s="113">
        <f>COUNTIFS('SOTA full paper filtered'!B5:B197,"International Journal of Sustainable Engineering",'SOTA full paper filtered'!D5:D197,"strategic")</f>
        <v>1</v>
      </c>
      <c r="F8" s="113">
        <f>COUNTIFS('SOTA full paper filtered'!B5:B197,"International Journal of Sustainable Engineering",'SOTA full paper filtered'!D5:D197,"tactical")</f>
        <v>1</v>
      </c>
      <c r="G8" s="113">
        <f>COUNTIFS('SOTA full paper filtered'!B5:B197,"International Journal of Sustainable Engineering",'SOTA full paper filtered'!D5:D197,"operational")</f>
        <v>2</v>
      </c>
      <c r="K8" s="111" t="s">
        <v>480</v>
      </c>
      <c r="L8" s="112">
        <v>6</v>
      </c>
      <c r="M8" s="113">
        <v>2</v>
      </c>
      <c r="N8" s="113">
        <v>1</v>
      </c>
      <c r="O8" s="113">
        <v>1</v>
      </c>
      <c r="P8" s="113">
        <v>2</v>
      </c>
      <c r="V8" s="111" t="s">
        <v>86</v>
      </c>
      <c r="W8" s="113">
        <v>3</v>
      </c>
      <c r="X8" s="113">
        <v>0</v>
      </c>
      <c r="Y8" s="113">
        <v>0</v>
      </c>
      <c r="Z8" s="113">
        <v>0</v>
      </c>
    </row>
    <row r="9" spans="2:26" ht="17" thickBot="1" x14ac:dyDescent="0.25">
      <c r="B9" s="111" t="s">
        <v>6</v>
      </c>
      <c r="C9" s="112">
        <f>COUNTIF('SOTA full paper filtered'!$B$5:$B$196,"Clean Technologies and Environmental Policy")</f>
        <v>5</v>
      </c>
      <c r="D9" s="113">
        <f>COUNTIFS('SOTA full paper filtered'!B5:B197,"Clean Technologies and Environmental Policy",'SOTA full paper filtered'!D5:D197,"metalevel")</f>
        <v>0</v>
      </c>
      <c r="E9" s="113">
        <f>COUNTIFS('SOTA full paper filtered'!B5:B197,"Clean Technologies and Environmental Policy",'SOTA full paper filtered'!D5:D197,"strategic")</f>
        <v>0</v>
      </c>
      <c r="F9" s="113">
        <f>COUNTIFS('SOTA full paper filtered'!B5:B197,"Clean Technologies and Environmental Policy",'SOTA full paper filtered'!D5:D197,"tactical")</f>
        <v>1</v>
      </c>
      <c r="G9" s="113">
        <f>COUNTIFS('SOTA full paper filtered'!B5:B197,"Clean Technologies and Environmental Policy",'SOTA full paper filtered'!D5:D197,"operational")</f>
        <v>4</v>
      </c>
      <c r="K9" s="111" t="s">
        <v>481</v>
      </c>
      <c r="L9" s="112">
        <v>5</v>
      </c>
      <c r="M9" s="113">
        <v>0</v>
      </c>
      <c r="N9" s="113">
        <v>0</v>
      </c>
      <c r="O9" s="113">
        <v>1</v>
      </c>
      <c r="P9" s="113">
        <v>4</v>
      </c>
      <c r="V9" s="111" t="s">
        <v>0</v>
      </c>
      <c r="W9" s="113">
        <v>1</v>
      </c>
      <c r="X9" s="113">
        <v>1</v>
      </c>
      <c r="Y9" s="113">
        <v>2</v>
      </c>
      <c r="Z9" s="113">
        <v>0</v>
      </c>
    </row>
    <row r="10" spans="2:26" ht="17" thickBot="1" x14ac:dyDescent="0.25">
      <c r="B10" s="111" t="s">
        <v>25</v>
      </c>
      <c r="C10" s="112">
        <f>COUNTIF('SOTA full paper filtered'!$B$5:$B$196,"Business Strategy and the Environment")</f>
        <v>5</v>
      </c>
      <c r="D10" s="113">
        <f>COUNTIFS('SOTA full paper filtered'!B5:B197,"Business Strategy and the Environment",'SOTA full paper filtered'!D5:D197,"metalevel")</f>
        <v>1</v>
      </c>
      <c r="E10" s="113">
        <f>COUNTIFS('SOTA full paper filtered'!B5:B197,"Business Strategy and the Environment",'SOTA full paper filtered'!D5:D197,"strategic")</f>
        <v>4</v>
      </c>
      <c r="F10" s="113">
        <f>COUNTIFS('SOTA full paper filtered'!B5:B197,"Business Strategy and the Environment",'SOTA full paper filtered'!D5:D197,"tactical")</f>
        <v>0</v>
      </c>
      <c r="G10" s="113">
        <f>COUNTIFS('SOTA full paper filtered'!B5:B197,"Business Strategy and the Environment",'SOTA full paper filtered'!D5:D197,"operational")</f>
        <v>0</v>
      </c>
      <c r="K10" s="111" t="s">
        <v>482</v>
      </c>
      <c r="L10" s="112">
        <v>5</v>
      </c>
      <c r="M10" s="113">
        <v>1</v>
      </c>
      <c r="N10" s="113">
        <v>4</v>
      </c>
      <c r="O10" s="113">
        <v>0</v>
      </c>
      <c r="P10" s="113">
        <v>0</v>
      </c>
      <c r="V10" s="111" t="s">
        <v>25</v>
      </c>
      <c r="W10" s="113">
        <v>0</v>
      </c>
      <c r="X10" s="113">
        <v>0</v>
      </c>
      <c r="Y10" s="113">
        <v>4</v>
      </c>
      <c r="Z10" s="113">
        <v>1</v>
      </c>
    </row>
    <row r="11" spans="2:26" ht="17" thickBot="1" x14ac:dyDescent="0.25">
      <c r="B11" s="111" t="s">
        <v>0</v>
      </c>
      <c r="C11" s="112">
        <f>COUNTIF('SOTA full paper filtered'!$B$5:$B$196,"Ecological indicators")</f>
        <v>4</v>
      </c>
      <c r="D11" s="113">
        <f>COUNTIFS('SOTA full paper filtered'!B5:B197,"Ecological indicators",'SOTA full paper filtered'!D5:D197,"metalevel")</f>
        <v>0</v>
      </c>
      <c r="E11" s="113">
        <f>COUNTIFS('SOTA full paper filtered'!B5:B197,"Ecological indicators",'SOTA full paper filtered'!D5:D197,"strategic")</f>
        <v>2</v>
      </c>
      <c r="F11" s="113">
        <f>COUNTIFS('SOTA full paper filtered'!B5:B197,"Ecological indicators",'SOTA full paper filtered'!D5:D197,"tactical")</f>
        <v>1</v>
      </c>
      <c r="G11" s="113">
        <f>COUNTIFS('SOTA full paper filtered'!B5:B197,"Ecological indicators",'SOTA full paper filtered'!D5:D197,"operational")</f>
        <v>1</v>
      </c>
      <c r="K11" s="111" t="s">
        <v>483</v>
      </c>
      <c r="L11" s="112">
        <v>4</v>
      </c>
      <c r="M11" s="113">
        <v>0</v>
      </c>
      <c r="N11" s="113">
        <v>2</v>
      </c>
      <c r="O11" s="113">
        <v>1</v>
      </c>
      <c r="P11" s="113">
        <v>1</v>
      </c>
      <c r="V11" s="111" t="s">
        <v>6</v>
      </c>
      <c r="W11" s="113">
        <v>4</v>
      </c>
      <c r="X11" s="113">
        <v>1</v>
      </c>
      <c r="Y11" s="113">
        <v>0</v>
      </c>
      <c r="Z11" s="113">
        <v>0</v>
      </c>
    </row>
    <row r="12" spans="2:26" ht="17" thickBot="1" x14ac:dyDescent="0.25">
      <c r="B12" s="111" t="s">
        <v>86</v>
      </c>
      <c r="C12" s="112">
        <f>COUNTIF('SOTA full paper filtered'!$B$5:$B$196,"Journal of Engineering, Design and Technology")</f>
        <v>3</v>
      </c>
      <c r="D12" s="113">
        <f>COUNTIFS('SOTA full paper filtered'!B5:B197,"Journal of Engineering, Design and Technology",'SOTA full paper filtered'!D5:D197,"metalevel")</f>
        <v>0</v>
      </c>
      <c r="E12" s="113">
        <f>COUNTIFS('SOTA full paper filtered'!B5:B197,"Journal of Engineering, Design and Technology",'SOTA full paper filtered'!D5:D197,"strategic")</f>
        <v>0</v>
      </c>
      <c r="F12" s="113">
        <f>COUNTIFS('SOTA full paper filtered'!B5:B197,"Journal of Engineering, Design and Technology",'SOTA full paper filtered'!D5:D197,"tactical")</f>
        <v>0</v>
      </c>
      <c r="G12" s="113">
        <f>COUNTIFS('SOTA full paper filtered'!B5:B197,"Journal of Engineering, Design and Technology",'SOTA full paper filtered'!D5:D197,"operational")</f>
        <v>3</v>
      </c>
      <c r="K12" s="111" t="s">
        <v>476</v>
      </c>
      <c r="L12" s="112">
        <v>3</v>
      </c>
      <c r="M12" s="113">
        <v>0</v>
      </c>
      <c r="N12" s="113">
        <v>0</v>
      </c>
      <c r="O12" s="113">
        <v>0</v>
      </c>
      <c r="P12" s="113">
        <v>3</v>
      </c>
      <c r="V12" s="111" t="s">
        <v>102</v>
      </c>
      <c r="W12" s="113">
        <v>2</v>
      </c>
      <c r="X12" s="113">
        <v>1</v>
      </c>
      <c r="Y12" s="113">
        <v>1</v>
      </c>
      <c r="Z12" s="113">
        <v>2</v>
      </c>
    </row>
    <row r="13" spans="2:26" ht="17" thickBot="1" x14ac:dyDescent="0.25">
      <c r="B13" s="111" t="s">
        <v>98</v>
      </c>
      <c r="C13" s="112">
        <f>COUNTIF('SOTA full paper filtered'!$B$5:$B$196,"International Journal of Advanced Manufacturing Technology")</f>
        <v>3</v>
      </c>
      <c r="D13" s="113">
        <f>COUNTIFS('SOTA full paper filtered'!B5:B197,"International Journal of Advanced Manufacturing Technology",'SOTA full paper filtered'!D5:D197,"metalevel")</f>
        <v>0</v>
      </c>
      <c r="E13" s="113">
        <f>COUNTIFS('SOTA full paper filtered'!B5:B197,"International Journal of Advanced Manufacturing Technology",'SOTA full paper filtered'!D5:D197,"strategic")</f>
        <v>1</v>
      </c>
      <c r="F13" s="113">
        <f>COUNTIFS('SOTA full paper filtered'!B5:B197,"International Journal of Advanced Manufacturing Technology",'SOTA full paper filtered'!D5:D197,"tactical")</f>
        <v>1</v>
      </c>
      <c r="G13" s="113">
        <f>COUNTIFS('SOTA full paper filtered'!B5:B197,"International Journal of Advanced Manufacturing Technology",'SOTA full paper filtered'!D5:D197,"operational")</f>
        <v>1</v>
      </c>
      <c r="K13" s="111" t="s">
        <v>474</v>
      </c>
      <c r="L13" s="112">
        <v>3</v>
      </c>
      <c r="M13" s="113">
        <v>0</v>
      </c>
      <c r="N13" s="113">
        <v>1</v>
      </c>
      <c r="O13" s="113">
        <v>1</v>
      </c>
      <c r="P13" s="113">
        <v>1</v>
      </c>
      <c r="V13" s="111" t="s">
        <v>28</v>
      </c>
      <c r="W13" s="113">
        <v>0</v>
      </c>
      <c r="X13" s="113">
        <v>5</v>
      </c>
      <c r="Y13" s="113">
        <v>2</v>
      </c>
      <c r="Z13" s="113">
        <v>0</v>
      </c>
    </row>
    <row r="14" spans="2:26" ht="17" thickBot="1" x14ac:dyDescent="0.25">
      <c r="B14" s="111" t="s">
        <v>30</v>
      </c>
      <c r="C14" s="112">
        <f>COUNTIF('SOTA full paper filtered'!$B$5:$B$196,"Benchmarking")</f>
        <v>3</v>
      </c>
      <c r="D14" s="113">
        <f>COUNTIFS('SOTA full paper filtered'!B5:B197,"Benchmarking",'SOTA full paper filtered'!D5:D197,"metalevel")</f>
        <v>0</v>
      </c>
      <c r="E14" s="113">
        <f>COUNTIFS('SOTA full paper filtered'!B5:B197,"Benchmarking",'SOTA full paper filtered'!D5:D197,"strategic")</f>
        <v>1</v>
      </c>
      <c r="F14" s="113">
        <f>COUNTIFS('SOTA full paper filtered'!B5:B197,"Benchmarking",'SOTA full paper filtered'!D5:D197,"tactical")</f>
        <v>2</v>
      </c>
      <c r="G14" s="113">
        <f>COUNTIFS('SOTA full paper filtered'!B5:B197,"Benchmarking",'SOTA full paper filtered'!D5:D197,"operational")</f>
        <v>0</v>
      </c>
      <c r="K14" s="111" t="s">
        <v>475</v>
      </c>
      <c r="L14" s="112">
        <v>3</v>
      </c>
      <c r="M14" s="113">
        <v>0</v>
      </c>
      <c r="N14" s="113">
        <v>1</v>
      </c>
      <c r="O14" s="113">
        <v>2</v>
      </c>
      <c r="P14" s="113">
        <v>0</v>
      </c>
      <c r="V14" s="111" t="s">
        <v>3</v>
      </c>
      <c r="W14" s="113">
        <v>4</v>
      </c>
      <c r="X14" s="113">
        <v>3</v>
      </c>
      <c r="Y14" s="113">
        <v>0</v>
      </c>
      <c r="Z14" s="113">
        <v>0</v>
      </c>
    </row>
    <row r="15" spans="2:26" ht="17" thickBot="1" x14ac:dyDescent="0.25">
      <c r="B15" s="92" t="s">
        <v>13</v>
      </c>
      <c r="C15" s="3">
        <f>COUNTIF('SOTA full paper filtered'!$B$5:$B$196,"Construction and Building Materials")</f>
        <v>2</v>
      </c>
      <c r="D15" s="8">
        <f>COUNTIFS('SOTA full paper filtered'!B5:B197,"Construction and Building Materials",'SOTA full paper filtered'!D5:D197,"metalevel")</f>
        <v>0</v>
      </c>
      <c r="E15" s="8">
        <f>COUNTIFS('SOTA full paper filtered'!B5:B197,"Construction and Building Materials",'SOTA full paper filtered'!D5:D197,"strategic")</f>
        <v>0</v>
      </c>
      <c r="F15" s="8">
        <f>COUNTIFS('SOTA full paper filtered'!B5:B197,"Construction and Building Materials",'SOTA full paper filtered'!D5:D197,"tactical")</f>
        <v>0</v>
      </c>
      <c r="G15" s="8">
        <f>COUNTIFS('SOTA full paper filtered'!B5:B197,"Construction and Building Materials",'SOTA full paper filtered'!D5:D197,"operational")</f>
        <v>2</v>
      </c>
      <c r="K15" s="2" t="s">
        <v>473</v>
      </c>
      <c r="L15" s="2">
        <f>193-SUM(L5:L14)</f>
        <v>116</v>
      </c>
      <c r="M15" s="2">
        <f>'Statistics full paper'!N7-SUM(M5:M14)</f>
        <v>12</v>
      </c>
      <c r="N15" s="2">
        <f>'Statistics full paper'!N6-SUM(N5:N14)</f>
        <v>51</v>
      </c>
      <c r="O15" s="2">
        <f>'Statistics full paper'!N5-SUM(O5:O14)</f>
        <v>16</v>
      </c>
      <c r="P15" s="2">
        <f>'Statistics full paper'!N4-SUM(P5:P14)</f>
        <v>36</v>
      </c>
      <c r="V15" s="111" t="s">
        <v>2</v>
      </c>
      <c r="W15" s="113">
        <v>7</v>
      </c>
      <c r="X15" s="113">
        <v>4</v>
      </c>
      <c r="Y15" s="113">
        <v>19</v>
      </c>
      <c r="Z15" s="113">
        <v>5</v>
      </c>
    </row>
    <row r="16" spans="2:26" ht="17" thickBot="1" x14ac:dyDescent="0.25">
      <c r="B16" s="92" t="s">
        <v>114</v>
      </c>
      <c r="C16" s="3">
        <f>COUNTIF('SOTA full paper filtered'!$B$5:$B$196,"International Journal of Agile Systems and Management")</f>
        <v>2</v>
      </c>
      <c r="D16" s="8">
        <f>COUNTIFS('SOTA full paper filtered'!B5:B197,"International Journal of Agile Systems and Management",'SOTA full paper filtered'!D5:D197,"metalevel")</f>
        <v>0</v>
      </c>
      <c r="E16" s="8">
        <f>COUNTIFS('SOTA full paper filtered'!B5:B197,"International Journal of Agile Systems and Management",'SOTA full paper filtered'!D5:D197,"strategic")</f>
        <v>0</v>
      </c>
      <c r="F16" s="8">
        <f>COUNTIFS('SOTA full paper filtered'!B5:B197,"International Journal of Agile Systems and Management",'SOTA full paper filtered'!D5:D197,"tactical")</f>
        <v>0</v>
      </c>
      <c r="G16" s="8">
        <f>COUNTIFS('SOTA full paper filtered'!B5:B197,"International Journal of Agile Systems and Management",'SOTA full paper filtered'!D5:D197,"operational")</f>
        <v>2</v>
      </c>
      <c r="V16" s="111"/>
      <c r="W16" s="113"/>
    </row>
    <row r="17" spans="2:23" ht="17" thickBot="1" x14ac:dyDescent="0.25">
      <c r="B17" s="92" t="s">
        <v>10</v>
      </c>
      <c r="C17" s="3">
        <f>COUNTIF('SOTA full paper filtered'!$B$5:$B$196,"International Journal of Computer Integrated Manufacturing")</f>
        <v>2</v>
      </c>
      <c r="D17" s="8">
        <f>COUNTIFS('SOTA full paper filtered'!B5:B197,"International Journal of Agile Systems and Management",'SOTA full paper filtered'!D5:D197,"metalevel")</f>
        <v>0</v>
      </c>
      <c r="E17" s="8">
        <f>COUNTIFS('SOTA full paper filtered'!B5:B197,"International Journal of Agile Systems and Management",'SOTA full paper filtered'!D5:D197,"strategic")</f>
        <v>0</v>
      </c>
      <c r="F17" s="8">
        <f>COUNTIFS('SOTA full paper filtered'!B5:B197,"International Journal of Agile Systems and Management",'SOTA full paper filtered'!D5:D197,"tactical")</f>
        <v>0</v>
      </c>
      <c r="G17" s="8">
        <f>COUNTIFS('SOTA full paper filtered'!B5:B197,"International Journal of Agile Systems and Management",'SOTA full paper filtered'!D5:D197,"operational")</f>
        <v>2</v>
      </c>
      <c r="V17" s="111"/>
      <c r="W17" s="113"/>
    </row>
    <row r="18" spans="2:23" ht="17" thickBot="1" x14ac:dyDescent="0.25">
      <c r="B18" s="92" t="s">
        <v>16</v>
      </c>
      <c r="C18" s="3">
        <f>COUNTIF('SOTA full paper filtered'!$B$5:$B$196,"Construction Innovation")</f>
        <v>2</v>
      </c>
      <c r="D18" s="8">
        <f>COUNTIFS('SOTA full paper filtered'!B5:B197,"Construction Innovation",'SOTA full paper filtered'!D5:D197,"metalevel")</f>
        <v>0</v>
      </c>
      <c r="E18" s="8">
        <f>COUNTIFS('SOTA full paper filtered'!B5:B197,"Construction Innovation",'SOTA full paper filtered'!D5:D197,"strategic")</f>
        <v>0</v>
      </c>
      <c r="F18" s="8">
        <f>COUNTIFS('SOTA full paper filtered'!B5:B197,"Construction Innovation",'SOTA full paper filtered'!D5:D197,"tactical")</f>
        <v>1</v>
      </c>
      <c r="G18" s="8">
        <f>COUNTIFS('SOTA full paper filtered'!B5:B197,"Construction Innovation",'SOTA full paper filtered'!D5:D197,"operational")</f>
        <v>1</v>
      </c>
      <c r="V18" s="111"/>
      <c r="W18" s="113"/>
    </row>
    <row r="19" spans="2:23" ht="17" thickBot="1" x14ac:dyDescent="0.25">
      <c r="B19" s="92" t="s">
        <v>15</v>
      </c>
      <c r="C19" s="3">
        <f>COUNTIF('SOTA full paper filtered'!$B$5:$B$196,"International Journal of Project Management")</f>
        <v>2</v>
      </c>
      <c r="D19" s="8">
        <f>COUNTIFS('SOTA full paper filtered'!B5:B197,"International Journal of Project Management",'SOTA full paper filtered'!D5:D197,"metalevel")</f>
        <v>0</v>
      </c>
      <c r="E19" s="8">
        <f>COUNTIFS('SOTA full paper filtered'!B5:B197,"International Journal of Project Management",'SOTA full paper filtered'!D5:D197,"strategic")</f>
        <v>0</v>
      </c>
      <c r="F19" s="8">
        <f>COUNTIFS('SOTA full paper filtered'!B5:B197,"International Journal of Project Management",'SOTA full paper filtered'!D5:D197,"tactical")</f>
        <v>1</v>
      </c>
      <c r="G19" s="8">
        <f>COUNTIFS('SOTA full paper filtered'!B5:B197,"International Journal of Project Management",'SOTA full paper filtered'!D5:D197,"operational")</f>
        <v>1</v>
      </c>
      <c r="V19" s="111"/>
      <c r="W19" s="113"/>
    </row>
    <row r="20" spans="2:23" ht="17" thickBot="1" x14ac:dyDescent="0.25">
      <c r="B20" s="92" t="s">
        <v>5</v>
      </c>
      <c r="C20" s="3">
        <f>COUNTIF('SOTA full paper filtered'!$B$5:$B$196,"Management of Environmental Quality")</f>
        <v>2</v>
      </c>
      <c r="D20" s="8">
        <f>COUNTIFS('SOTA full paper filtered'!B5:B197,"Management of Environmental Quality",'SOTA full paper filtered'!D5:D197,"metalevel")</f>
        <v>0</v>
      </c>
      <c r="E20" s="8">
        <f>COUNTIFS('SOTA full paper filtered'!B5:B197,"Management of Environmental Quality",'SOTA full paper filtered'!D5:D197,"strategic")</f>
        <v>0</v>
      </c>
      <c r="F20" s="8">
        <f>COUNTIFS('SOTA full paper filtered'!B5:B197,"Management of Environmental Quality",'SOTA full paper filtered'!D5:D197,"tactical")</f>
        <v>1</v>
      </c>
      <c r="G20" s="8">
        <f>COUNTIFS('SOTA full paper filtered'!B5:B197,"Management of Environmental Quality",'SOTA full paper filtered'!D5:D197,"operational")</f>
        <v>1</v>
      </c>
      <c r="V20" s="111"/>
      <c r="W20" s="113"/>
    </row>
    <row r="21" spans="2:23" ht="17" thickBot="1" x14ac:dyDescent="0.25">
      <c r="B21" s="92" t="s">
        <v>84</v>
      </c>
      <c r="C21" s="3">
        <f>COUNTIF('SOTA full paper filtered'!$B$5:$B$196,"International Journal of Innovation and Sustainable Development")</f>
        <v>2</v>
      </c>
      <c r="D21" s="8">
        <f>COUNTIFS('SOTA full paper filtered'!B5:B197,"International Journal of Innovation and Sustainable Development",'SOTA full paper filtered'!D5:D197,"metalevel")</f>
        <v>0</v>
      </c>
      <c r="E21" s="8">
        <f>COUNTIFS('SOTA full paper filtered'!B5:B197,"International Journal of Innovation and Sustainable Development",'SOTA full paper filtered'!D5:D197,"strategic")</f>
        <v>1</v>
      </c>
      <c r="F21" s="8">
        <f>COUNTIFS('SOTA full paper filtered'!B5:B197,"International Journal of Innovation and Sustainable Development",'SOTA full paper filtered'!D5:D197,"tactical")</f>
        <v>0</v>
      </c>
      <c r="G21" s="8">
        <f>COUNTIFS('SOTA full paper filtered'!B5:B197,"International Journal of Innovation and Sustainable Development",'SOTA full paper filtered'!D5:D197,"operational")</f>
        <v>1</v>
      </c>
      <c r="V21" s="111"/>
      <c r="W21" s="113"/>
    </row>
    <row r="22" spans="2:23" ht="17" thickBot="1" x14ac:dyDescent="0.25">
      <c r="B22" s="92" t="s">
        <v>88</v>
      </c>
      <c r="C22" s="3">
        <f>COUNTIF('SOTA full paper filtered'!$B$5:$B$196,"International Journal of Production Research")</f>
        <v>2</v>
      </c>
      <c r="D22" s="8">
        <f>COUNTIFS('SOTA full paper filtered'!B5:B197,"International Journal of Production Research",'SOTA full paper filtered'!D5:D197,"metalevel")</f>
        <v>0</v>
      </c>
      <c r="E22" s="8">
        <f>COUNTIFS('SOTA full paper filtered'!B5:B197,"International Journal of Production Research",'SOTA full paper filtered'!D5:D197,"strategic")</f>
        <v>1</v>
      </c>
      <c r="F22" s="8">
        <f>COUNTIFS('SOTA full paper filtered'!B5:B197,"International Journal of Production Research",'SOTA full paper filtered'!D5:D197,"tactical")</f>
        <v>0</v>
      </c>
      <c r="G22" s="8">
        <f>COUNTIFS('SOTA full paper filtered'!B5:B197,"International Journal of Production Research",'SOTA full paper filtered'!D5:D197,"operational")</f>
        <v>1</v>
      </c>
      <c r="V22" s="111"/>
      <c r="W22" s="113"/>
    </row>
    <row r="23" spans="2:23" ht="17" thickBot="1" x14ac:dyDescent="0.25">
      <c r="B23" s="92" t="s">
        <v>29</v>
      </c>
      <c r="C23" s="3">
        <f>COUNTIF('SOTA full paper filtered'!$B$5:$B$196,"Management Research Review")</f>
        <v>2</v>
      </c>
      <c r="D23" s="8">
        <f>COUNTIFS('SOTA full paper filtered'!B5:B197,"Management Research Review",'SOTA full paper filtered'!D5:D197,"metalevel")</f>
        <v>1</v>
      </c>
      <c r="E23" s="8">
        <f>COUNTIFS('SOTA full paper filtered'!B5:B197,"Management Research Review",'SOTA full paper filtered'!D5:D197,"strategic")</f>
        <v>0</v>
      </c>
      <c r="F23" s="8">
        <f>COUNTIFS('SOTA full paper filtered'!B5:B197,"Management Research Review",'SOTA full paper filtered'!D5:D197,"tactical")</f>
        <v>1</v>
      </c>
      <c r="G23" s="8">
        <f>COUNTIFS('SOTA full paper filtered'!B5:B197,"Management Research Review",'SOTA full paper filtered'!D5:D197,"operational")</f>
        <v>0</v>
      </c>
      <c r="V23" s="111"/>
      <c r="W23" s="113"/>
    </row>
    <row r="24" spans="2:23" ht="17" thickBot="1" x14ac:dyDescent="0.25">
      <c r="B24" s="92" t="s">
        <v>127</v>
      </c>
      <c r="C24" s="3">
        <f>COUNTIF('SOTA full paper filtered'!$B$5:$B$196,"Industrial Management and Data Systems")</f>
        <v>2</v>
      </c>
      <c r="D24" s="8">
        <f>COUNTIFS('SOTA full paper filtered'!B5:B197,"Industrial Management and Data Systems",'SOTA full paper filtered'!D5:D197,"metalevel")</f>
        <v>0</v>
      </c>
      <c r="E24" s="8">
        <f>COUNTIFS('SOTA full paper filtered'!B5:B197,"Industrial Management and Data Systems",'SOTA full paper filtered'!D5:D197,"strategic")</f>
        <v>0</v>
      </c>
      <c r="F24" s="8">
        <f>COUNTIFS('SOTA full paper filtered'!B5:B197,"Industrial Management and Data Systems",'SOTA full paper filtered'!D5:D197,"tactical")</f>
        <v>2</v>
      </c>
      <c r="G24" s="8">
        <f>COUNTIFS('SOTA full paper filtered'!B5:B197,"Industrial Management and Data Systems",'SOTA full paper filtered'!D5:D197,"operational")</f>
        <v>0</v>
      </c>
      <c r="V24" s="111"/>
      <c r="W24" s="113"/>
    </row>
    <row r="25" spans="2:23" ht="17" thickBot="1" x14ac:dyDescent="0.25">
      <c r="B25" s="92" t="s">
        <v>26</v>
      </c>
      <c r="C25" s="3">
        <f>COUNTIF('SOTA full paper filtered'!$B$5:$B$196,"International Journal of Physical Distribution and Logistics Management")</f>
        <v>2</v>
      </c>
      <c r="D25" s="8">
        <f>COUNTIFS('SOTA full paper filtered'!B5:B197,"International Journal of Physical Distribution and Logistics Management",'SOTA full paper filtered'!D5:D197,"metalevel")</f>
        <v>0</v>
      </c>
      <c r="E25" s="8">
        <f>COUNTIFS('SOTA full paper filtered'!B5:B197,"International Journal of Physical Distribution and Logistics Management",'SOTA full paper filtered'!D5:D197,"strategic")</f>
        <v>0</v>
      </c>
      <c r="F25" s="8">
        <f>COUNTIFS('SOTA full paper filtered'!B5:B197,"International Journal of Physical Distribution and Logistics Management",'SOTA full paper filtered'!D5:D197,"tactical")</f>
        <v>2</v>
      </c>
      <c r="G25" s="8">
        <f>COUNTIFS('SOTA full paper filtered'!B5:B197,"International Journal of Physical Distribution and Logistics Management",'SOTA full paper filtered'!D5:D197,"operational")</f>
        <v>0</v>
      </c>
      <c r="V25" s="111"/>
      <c r="W25" s="113"/>
    </row>
    <row r="26" spans="2:23" ht="17" thickBot="1" x14ac:dyDescent="0.25">
      <c r="B26" s="92" t="s">
        <v>109</v>
      </c>
      <c r="C26" s="3">
        <f>COUNTIF('SOTA full paper filtered'!$B$5:$B$196,"CIRP Annals - Manufacturing Technology")</f>
        <v>2</v>
      </c>
      <c r="D26" s="8">
        <f>COUNTIFS('SOTA full paper filtered'!B5:B197,"CIRP Annals - Manufacturing Technology",'SOTA full paper filtered'!D5:D197,"metalevel")</f>
        <v>0</v>
      </c>
      <c r="E26" s="8">
        <f>COUNTIFS('SOTA full paper filtered'!B5:B197,"CIRP Annals - Manufacturing Technology",'SOTA full paper filtered'!D5:D197,"strategic")</f>
        <v>1</v>
      </c>
      <c r="F26" s="8">
        <f>COUNTIFS('SOTA full paper filtered'!B5:B197,"CIRP Annals - Manufacturing Technology",'SOTA full paper filtered'!D5:D197,"tactical")</f>
        <v>1</v>
      </c>
      <c r="G26" s="8">
        <f>COUNTIFS('SOTA full paper filtered'!B5:B197,"CIRP Annals - Manufacturing Technology",'SOTA full paper filtered'!D5:D197,"operational")</f>
        <v>0</v>
      </c>
    </row>
    <row r="27" spans="2:23" ht="17" thickBot="1" x14ac:dyDescent="0.25">
      <c r="B27" s="92" t="s">
        <v>19</v>
      </c>
      <c r="C27" s="3">
        <f>COUNTIF('SOTA full paper filtered'!$B$5:$B$196,"Proceedings of the Institution of Civil Engineers: Engineering Sustainability")</f>
        <v>2</v>
      </c>
      <c r="D27" s="8">
        <f>COUNTIFS('SOTA full paper filtered'!B5:B197,"Proceedings of the Institution of Civil Engineers: Engineering Sustainability",'SOTA full paper filtered'!D5:D197,"metalevel")</f>
        <v>1</v>
      </c>
      <c r="E27" s="8">
        <f>COUNTIFS('SOTA full paper filtered'!B5:B197,"Proceedings of the Institution of Civil Engineers: Engineering Sustainability",'SOTA full paper filtered'!D5:D197,"strategic")</f>
        <v>0</v>
      </c>
      <c r="F27" s="8">
        <f>COUNTIFS('SOTA full paper filtered'!B5:B197,"Proceedings of the Institution of Civil Engineers: Engineering Sustainability",'SOTA full paper filtered'!D5:D197,"tactical")</f>
        <v>1</v>
      </c>
      <c r="G27" s="8">
        <f>COUNTIFS('SOTA full paper filtered'!B5:B197,"Proceedings of the Institution of Civil Engineers: Engineering Sustainability",'SOTA full paper filtered'!D5:D197,"operational")</f>
        <v>0</v>
      </c>
    </row>
    <row r="28" spans="2:23" ht="17" thickBot="1" x14ac:dyDescent="0.25">
      <c r="B28" s="92" t="s">
        <v>9</v>
      </c>
      <c r="C28" s="3">
        <f>COUNTIF('SOTA full paper filtered'!$B$5:$B$196,"International Journal of Operations and Production Management")</f>
        <v>2</v>
      </c>
      <c r="D28" s="8">
        <f>COUNTIFS('SOTA full paper filtered'!B5:B197,"International Journal of Operations and Production Management",'SOTA full paper filtered'!D5:D197,"metalevel")</f>
        <v>0</v>
      </c>
      <c r="E28" s="8">
        <f>COUNTIFS('SOTA full paper filtered'!B5:B197,"International Journal of Operations and Production Management",'SOTA full paper filtered'!D5:D197,"strategic")</f>
        <v>2</v>
      </c>
      <c r="F28" s="8">
        <f>COUNTIFS('SOTA full paper filtered'!B5:B197,"International Journal of Operations and Production Management",'SOTA full paper filtered'!D5:D197,"tactical")</f>
        <v>0</v>
      </c>
      <c r="G28" s="8">
        <f>COUNTIFS('SOTA full paper filtered'!B5:B197,"International Journal of Operations and Production Management",'SOTA full paper filtered'!D5:D197,"operational")</f>
        <v>0</v>
      </c>
    </row>
    <row r="29" spans="2:23" ht="17" thickBot="1" x14ac:dyDescent="0.25">
      <c r="B29" s="92" t="s">
        <v>18</v>
      </c>
      <c r="C29" s="3">
        <f>COUNTIF('SOTA full paper filtered'!$B$5:$B$196,"Advances in Appreciative Inquiry")</f>
        <v>2</v>
      </c>
      <c r="D29" s="8">
        <f>COUNTIFS('SOTA full paper filtered'!B5:B197,"Advances in Appreciative Inquiry",'SOTA full paper filtered'!D5:D197,"metalevel")</f>
        <v>0</v>
      </c>
      <c r="E29" s="8">
        <f>COUNTIFS('SOTA full paper filtered'!B5:B197,"Advances in Appreciative Inquiry",'SOTA full paper filtered'!D5:D197,"strategic")</f>
        <v>2</v>
      </c>
      <c r="F29" s="8">
        <f>COUNTIFS('SOTA full paper filtered'!B5:B197,"Advances in Appreciative Inquiry",'SOTA full paper filtered'!D5:D197,"tactical")</f>
        <v>0</v>
      </c>
      <c r="G29" s="8">
        <f>COUNTIFS('SOTA full paper filtered'!B5:B197,"Advances in Appreciative Inquiry",'SOTA full paper filtered'!D5:D197,"operational")</f>
        <v>0</v>
      </c>
    </row>
    <row r="30" spans="2:23" ht="17" thickBot="1" x14ac:dyDescent="0.25">
      <c r="B30" s="92" t="s">
        <v>20</v>
      </c>
      <c r="C30" s="3">
        <f>COUNTIF('SOTA full paper filtered'!$B$5:$B$196,"International Journal of Production Economics")</f>
        <v>2</v>
      </c>
      <c r="D30" s="8">
        <f>COUNTIFS('SOTA full paper filtered'!B5:B197,"International Journal of Production Economics",'SOTA full paper filtered'!D5:D197,"metalevel")</f>
        <v>0</v>
      </c>
      <c r="E30" s="8">
        <f>COUNTIFS('SOTA full paper filtered'!B5:B197,"International Journal of Production Economics",'SOTA full paper filtered'!D5:D197,"strategic")</f>
        <v>2</v>
      </c>
      <c r="F30" s="8">
        <f>COUNTIFS('SOTA full paper filtered'!B5:B197,"International Journal of Production Economics",'SOTA full paper filtered'!D5:D197,"tactical")</f>
        <v>0</v>
      </c>
      <c r="G30" s="8">
        <f>COUNTIFS('SOTA full paper filtered'!B5:B197,"International Journal of Production Economics",'SOTA full paper filtered'!D5:D197,"operational")</f>
        <v>0</v>
      </c>
    </row>
    <row r="31" spans="2:23" ht="17" thickBot="1" x14ac:dyDescent="0.25">
      <c r="B31" s="92" t="s">
        <v>125</v>
      </c>
      <c r="C31" s="3">
        <f>COUNTIF('SOTA full paper filtered'!$B$5:$B$196,"Journal of Strategic Marketing")</f>
        <v>2</v>
      </c>
      <c r="D31" s="8">
        <f>COUNTIFS('SOTA full paper filtered'!B5:B197,"Journal of metalevel Marketing",'SOTA full paper filtered'!D5:D197,"metalevel")</f>
        <v>0</v>
      </c>
      <c r="E31" s="8">
        <f>COUNTIFS('SOTA full paper filtered'!B5:B197,"Journal of Strategic Marketing",'SOTA full paper filtered'!D5:D197,"strategic")</f>
        <v>2</v>
      </c>
      <c r="F31" s="8">
        <f>COUNTIFS('SOTA full paper filtered'!B5:B197,"Journal of tactical Marketing",'SOTA full paper filtered'!D5:D197,"tactical")</f>
        <v>0</v>
      </c>
      <c r="G31" s="8">
        <f>COUNTIFS('SOTA full paper filtered'!B5:B197,"Journal of operational Marketing",'SOTA full paper filtered'!D5:D197,"operational")</f>
        <v>0</v>
      </c>
    </row>
    <row r="32" spans="2:23" ht="17" thickBot="1" x14ac:dyDescent="0.25">
      <c r="B32" s="92" t="s">
        <v>97</v>
      </c>
      <c r="C32" s="3">
        <f>COUNTIF('SOTA full paper filtered'!$B$5:$B$196,"Measuring Business Excellence")</f>
        <v>2</v>
      </c>
      <c r="D32" s="8">
        <f>COUNTIFS('SOTA full paper filtered'!B5:B197,"Measuring Business Excellence",'SOTA full paper filtered'!D5:D197,"metalevel")</f>
        <v>0</v>
      </c>
      <c r="E32" s="8">
        <f>COUNTIFS('SOTA full paper filtered'!B5:B197,"Measuring Business Excellence",'SOTA full paper filtered'!D5:D197,"strategic")</f>
        <v>2</v>
      </c>
      <c r="F32" s="8">
        <f>COUNTIFS('SOTA full paper filtered'!B5:B197,"Measuring Business Excellence",'SOTA full paper filtered'!D5:D197,"tactical")</f>
        <v>0</v>
      </c>
      <c r="G32" s="8">
        <f>COUNTIFS('SOTA full paper filtered'!B5:B197,"Measuring Business Excellence",'SOTA full paper filtered'!D5:D197,"operational")</f>
        <v>0</v>
      </c>
    </row>
    <row r="33" spans="2:7" ht="17" thickBot="1" x14ac:dyDescent="0.25">
      <c r="B33" s="92" t="s">
        <v>7</v>
      </c>
      <c r="C33" s="3">
        <f>COUNTIF('SOTA full paper filtered'!$B$5:$B$196,"Organization and Environment")</f>
        <v>2</v>
      </c>
      <c r="D33" s="8">
        <f>COUNTIFS('SOTA full paper filtered'!B5:B197,"Organization and Environment",'SOTA full paper filtered'!D5:D197,"metalevel")</f>
        <v>0</v>
      </c>
      <c r="E33" s="8">
        <f>COUNTIFS('SOTA full paper filtered'!B5:B197,"Organization and Environment",'SOTA full paper filtered'!D5:D197,"strategic")</f>
        <v>2</v>
      </c>
      <c r="F33" s="8">
        <f>COUNTIFS('SOTA full paper filtered'!B5:B197,"Organization and Environment",'SOTA full paper filtered'!D5:D197,"tactical")</f>
        <v>0</v>
      </c>
      <c r="G33" s="8">
        <f>COUNTIFS('SOTA full paper filtered'!B5:B197,"Organization and Environment",'SOTA full paper filtered'!D5:D197,"operational")</f>
        <v>0</v>
      </c>
    </row>
    <row r="34" spans="2:7" ht="17" thickBot="1" x14ac:dyDescent="0.25">
      <c r="B34" s="92" t="s">
        <v>108</v>
      </c>
      <c r="C34" s="3">
        <f>COUNTIF('SOTA full paper filtered'!$B$5:$B$196,"Ecological Economics")</f>
        <v>2</v>
      </c>
      <c r="D34" s="8">
        <f>COUNTIFS('SOTA full paper filtered'!B5:B197,"Ecological Economics",'SOTA full paper filtered'!D5:D197,"metalevel")</f>
        <v>1</v>
      </c>
      <c r="E34" s="8">
        <f>COUNTIFS('SOTA full paper filtered'!B5:B197,"Ecological Economics",'SOTA full paper filtered'!D5:D197,"strategic")</f>
        <v>1</v>
      </c>
      <c r="F34" s="8">
        <f>COUNTIFS('SOTA full paper filtered'!B5:B197,"Ecological Economics",'SOTA full paper filtered'!D5:D197,"tactical")</f>
        <v>0</v>
      </c>
      <c r="G34" s="8">
        <f>COUNTIFS('SOTA full paper filtered'!B5:B197,"Ecological Economics",'SOTA full paper filtered'!D5:D197,"operational")</f>
        <v>0</v>
      </c>
    </row>
    <row r="35" spans="2:7" ht="17" thickBot="1" x14ac:dyDescent="0.25">
      <c r="B35" s="92" t="s">
        <v>129</v>
      </c>
      <c r="C35" s="3">
        <f>COUNTIF('SOTA full paper filtered'!$B$5:$B$196,"Energy Policy")</f>
        <v>2</v>
      </c>
      <c r="D35" s="8">
        <f>COUNTIFS('SOTA full paper filtered'!B5:B197,"Energy Policy",'SOTA full paper filtered'!D5:D197,"metalevel")</f>
        <v>2</v>
      </c>
      <c r="E35" s="8">
        <f>COUNTIFS('SOTA full paper filtered'!B5:B197,"Energy Policy",'SOTA full paper filtered'!D5:D197,"strategic")</f>
        <v>0</v>
      </c>
      <c r="F35" s="8">
        <f>COUNTIFS('SOTA full paper filtered'!B5:B197,"Energy Policy",'SOTA full paper filtered'!D5:D197,"tactical")</f>
        <v>0</v>
      </c>
      <c r="G35" s="8">
        <f>COUNTIFS('SOTA full paper filtered'!B5:B197,"Energy Policy",'SOTA full paper filtered'!D5:D197,"operational")</f>
        <v>0</v>
      </c>
    </row>
    <row r="36" spans="2:7" ht="17" thickBot="1" x14ac:dyDescent="0.25">
      <c r="B36" s="92" t="s">
        <v>23</v>
      </c>
      <c r="C36" s="3">
        <f>COUNTIF('SOTA full paper filtered'!$B$5:$B$196,"Building and Environment")</f>
        <v>1</v>
      </c>
      <c r="D36" s="8">
        <f>COUNTIFS('SOTA full paper filtered'!B5:B197,"Building and Environment",'SOTA full paper filtered'!D5:D197,"metalevel")</f>
        <v>0</v>
      </c>
      <c r="E36" s="8">
        <f>COUNTIFS('SOTA full paper filtered'!B5:B197,"Building and Environment",'SOTA full paper filtered'!D5:D197,"strategic")</f>
        <v>0</v>
      </c>
      <c r="F36" s="8">
        <f>COUNTIFS('SOTA full paper filtered'!B5:B197,"Building and Environment",'SOTA full paper filtered'!D5:D197,"tactical")</f>
        <v>0</v>
      </c>
      <c r="G36" s="8">
        <f>COUNTIFS('SOTA full paper filtered'!B5:B197,"Building and Environment",'SOTA full paper filtered'!D5:D197,"operational")</f>
        <v>1</v>
      </c>
    </row>
    <row r="37" spans="2:7" ht="17" thickBot="1" x14ac:dyDescent="0.25">
      <c r="B37" s="92" t="s">
        <v>130</v>
      </c>
      <c r="C37" s="3">
        <f>COUNTIF('SOTA full paper filtered'!$B$5:$B$196,"Building Research and Information")</f>
        <v>1</v>
      </c>
      <c r="D37" s="8">
        <f>COUNTIFS('SOTA full paper filtered'!B5:B197,"Building Research and Information",'SOTA full paper filtered'!D5:D197,"metalevel")</f>
        <v>0</v>
      </c>
      <c r="E37" s="8">
        <f>COUNTIFS('SOTA full paper filtered'!B5:B197,"Building Research and Information",'SOTA full paper filtered'!D5:D197,"strategic")</f>
        <v>0</v>
      </c>
      <c r="F37" s="8">
        <f>COUNTIFS('SOTA full paper filtered'!B5:B197,"Building Research and Information",'SOTA full paper filtered'!D5:D197,"tactical")</f>
        <v>0</v>
      </c>
      <c r="G37" s="8">
        <f>COUNTIFS('SOTA full paper filtered'!B5:B197,"Building Research and Information",'SOTA full paper filtered'!D5:D197,"operational")</f>
        <v>1</v>
      </c>
    </row>
    <row r="38" spans="2:7" ht="17" thickBot="1" x14ac:dyDescent="0.25">
      <c r="B38" s="92" t="s">
        <v>141</v>
      </c>
      <c r="C38" s="3">
        <f>COUNTIF('SOTA full paper filtered'!$B$5:$B$196,"CIRP Journal of Manufacturing Science and Technology")</f>
        <v>1</v>
      </c>
      <c r="D38" s="8">
        <f>COUNTIFS('SOTA full paper filtered'!B5:B197,"CIRP Journal of Manufacturing Science and Technology",'SOTA full paper filtered'!D5:D197,"metalevel")</f>
        <v>0</v>
      </c>
      <c r="E38" s="8">
        <f>COUNTIFS('SOTA full paper filtered'!B5:B197,"CIRP Journal of Manufacturing Science and Technology",'SOTA full paper filtered'!D5:D197,"strategic")</f>
        <v>0</v>
      </c>
      <c r="F38" s="8">
        <f>COUNTIFS('SOTA full paper filtered'!B5:B197,"CIRP Journal of Manufacturing Science and Technology",'SOTA full paper filtered'!D5:D197,"tactical")</f>
        <v>0</v>
      </c>
      <c r="G38" s="8">
        <f>COUNTIFS('SOTA full paper filtered'!B5:B197,"CIRP Journal of Manufacturing Science and Technology",'SOTA full paper filtered'!D5:D197,"operational")</f>
        <v>1</v>
      </c>
    </row>
    <row r="39" spans="2:7" ht="17" thickBot="1" x14ac:dyDescent="0.25">
      <c r="B39" s="92" t="s">
        <v>31</v>
      </c>
      <c r="C39" s="3">
        <f>COUNTIF('SOTA full paper filtered'!$B$5:$B$196,"Decision Support Systems")</f>
        <v>1</v>
      </c>
      <c r="D39" s="8">
        <f>COUNTIFS('SOTA full paper filtered'!B5:B197,"Decision Support Systems",'SOTA full paper filtered'!D5:D197,"metalevel")</f>
        <v>0</v>
      </c>
      <c r="E39" s="8">
        <f>COUNTIFS('SOTA full paper filtered'!B5:B197,"Decision Support Systems",'SOTA full paper filtered'!D5:D197,"strategic")</f>
        <v>0</v>
      </c>
      <c r="F39" s="8">
        <f>COUNTIFS('SOTA full paper filtered'!B5:B197,"Decision Support Systems",'SOTA full paper filtered'!D5:D197,"tactical")</f>
        <v>0</v>
      </c>
      <c r="G39" s="8">
        <f>COUNTIFS('SOTA full paper filtered'!B5:B197,"Decision Support Systems",'SOTA full paper filtered'!D5:D197,"operational")</f>
        <v>1</v>
      </c>
    </row>
    <row r="40" spans="2:7" ht="17" thickBot="1" x14ac:dyDescent="0.25">
      <c r="B40" s="92" t="s">
        <v>17</v>
      </c>
      <c r="C40" s="3">
        <f>COUNTIF('SOTA full paper filtered'!$B$5:$B$196,"Engineering, Construction and Architectural Management")</f>
        <v>1</v>
      </c>
      <c r="D40" s="8">
        <f>COUNTIFS('SOTA full paper filtered'!B5:B197,"Engineering, Construction and Architectural Management",'SOTA full paper filtered'!D5:D197,"metalevel")</f>
        <v>0</v>
      </c>
      <c r="E40" s="8">
        <f>COUNTIFS('SOTA full paper filtered'!B5:B197,"Engineering, Construction and Architectural Management",'SOTA full paper filtered'!D5:D197,"strategic")</f>
        <v>0</v>
      </c>
      <c r="F40" s="8">
        <f>COUNTIFS('SOTA full paper filtered'!B5:B197,"Engineering, Construction and Architectural Management",'SOTA full paper filtered'!D5:D197,"tactical")</f>
        <v>0</v>
      </c>
      <c r="G40" s="8">
        <f>COUNTIFS('SOTA full paper filtered'!B5:B197,"Engineering, Construction and Architectural Management",'SOTA full paper filtered'!D5:D197,"operational")</f>
        <v>1</v>
      </c>
    </row>
    <row r="41" spans="2:7" ht="17" thickBot="1" x14ac:dyDescent="0.25">
      <c r="B41" s="92" t="s">
        <v>133</v>
      </c>
      <c r="C41" s="3">
        <f>COUNTIF('SOTA full paper filtered'!$B$5:$B$196,"Expert Systems with Applications")</f>
        <v>1</v>
      </c>
      <c r="D41" s="8">
        <f>COUNTIFS('SOTA full paper filtered'!B5:B197,"Expert Systems with Applications",'SOTA full paper filtered'!D5:D197,"metalevel")</f>
        <v>0</v>
      </c>
      <c r="E41" s="8">
        <f>COUNTIFS('SOTA full paper filtered'!B5:B197,"Expert Systems with Applications",'SOTA full paper filtered'!D5:D197,"strategic")</f>
        <v>0</v>
      </c>
      <c r="F41" s="8">
        <f>COUNTIFS('SOTA full paper filtered'!B5:B197,"Expert Systems with Applications",'SOTA full paper filtered'!D5:D197,"tactical")</f>
        <v>0</v>
      </c>
      <c r="G41" s="8">
        <f>COUNTIFS('SOTA full paper filtered'!B5:B197,"Expert Systems with Applications",'SOTA full paper filtered'!D5:D197,"operational")</f>
        <v>1</v>
      </c>
    </row>
    <row r="42" spans="2:7" ht="17" thickBot="1" x14ac:dyDescent="0.25">
      <c r="B42" s="92" t="s">
        <v>90</v>
      </c>
      <c r="C42" s="3">
        <f>COUNTIF('SOTA full paper filtered'!$B$5:$B$196,"Handbook of Ethics, Values, and Technological Design: Sources, Theory, Values and Application Domains")</f>
        <v>1</v>
      </c>
      <c r="D42" s="8">
        <f>COUNTIFS('SOTA full paper filtered'!B5:B197,"Handbook of Ethics, Values, and Technological Design: Sources, Theory, Values and Application Domains",'SOTA full paper filtered'!D5:D197,"metalevel")</f>
        <v>0</v>
      </c>
      <c r="E42" s="8">
        <f>COUNTIFS('SOTA full paper filtered'!B5:B197,"Handbook of Ethics, Values, and Technological Design: Sources, Theory, Values and Application Domains",'SOTA full paper filtered'!D5:D197,"strategic")</f>
        <v>0</v>
      </c>
      <c r="F42" s="8">
        <f>COUNTIFS('SOTA full paper filtered'!B5:B197,"Handbook of Ethics, Values, and Technological Design: Sources, Theory, Values and Application Domains",'SOTA full paper filtered'!D5:D197,"tactical")</f>
        <v>0</v>
      </c>
      <c r="G42" s="8">
        <f>COUNTIFS('SOTA full paper filtered'!B5:B197,"Handbook of Ethics, Values, and Technological Design: Sources, Theory, Values and Application Domains",'SOTA full paper filtered'!D5:D197,"operational")</f>
        <v>1</v>
      </c>
    </row>
    <row r="43" spans="2:7" ht="17" thickBot="1" x14ac:dyDescent="0.25">
      <c r="B43" s="92" t="s">
        <v>11</v>
      </c>
      <c r="C43" s="3">
        <f>COUNTIF('SOTA full paper filtered'!$B$5:$B$196,"HandBook of Manufacturing Engineering and Technology")</f>
        <v>1</v>
      </c>
      <c r="D43" s="8">
        <f>COUNTIFS('SOTA full paper filtered'!B5:B197,"HandBook of Manufacturing Engineering and Technology",'SOTA full paper filtered'!D5:D197,"metalevel")</f>
        <v>0</v>
      </c>
      <c r="E43" s="8">
        <f>COUNTIFS('SOTA full paper filtered'!B5:B197,"HandBook of Manufacturing Engineering and Technology",'SOTA full paper filtered'!D5:D197,"strategic")</f>
        <v>0</v>
      </c>
      <c r="F43" s="8">
        <f>COUNTIFS('SOTA full paper filtered'!B5:B197,"HandBook of Manufacturing Engineering and Technology",'SOTA full paper filtered'!D5:D197,"tactical")</f>
        <v>0</v>
      </c>
      <c r="G43" s="8">
        <f>COUNTIFS('SOTA full paper filtered'!B5:B197,"HandBook of Manufacturing Engineering and Technology",'SOTA full paper filtered'!D5:D197,"operational")</f>
        <v>1</v>
      </c>
    </row>
    <row r="44" spans="2:7" ht="17" thickBot="1" x14ac:dyDescent="0.25">
      <c r="B44" s="92" t="s">
        <v>103</v>
      </c>
      <c r="C44" s="3">
        <f>COUNTIF('SOTA full paper filtered'!$B$5:$B$196,"International Journal for Quality Research")</f>
        <v>1</v>
      </c>
      <c r="D44" s="8">
        <f>COUNTIFS('SOTA full paper filtered'!B5:B197,"International Journal for Quality Research",'SOTA full paper filtered'!D5:D197,"metalevel")</f>
        <v>0</v>
      </c>
      <c r="E44" s="8">
        <f>COUNTIFS('SOTA full paper filtered'!B5:B197,"International Journal for Quality Research",'SOTA full paper filtered'!D5:D197,"strategic")</f>
        <v>0</v>
      </c>
      <c r="F44" s="8">
        <f>COUNTIFS('SOTA full paper filtered'!B5:B197,"International Journal for Quality Research",'SOTA full paper filtered'!D5:D197,"tactical")</f>
        <v>0</v>
      </c>
      <c r="G44" s="8">
        <f>COUNTIFS('SOTA full paper filtered'!B5:B197,"International Journal for Quality Research",'SOTA full paper filtered'!D5:D197,"operational")</f>
        <v>1</v>
      </c>
    </row>
    <row r="45" spans="2:7" ht="17" thickBot="1" x14ac:dyDescent="0.25">
      <c r="B45" s="92" t="s">
        <v>113</v>
      </c>
      <c r="C45" s="3">
        <f>COUNTIF('SOTA full paper filtered'!$B$5:$B$196,"International Journal of Automation Technology")</f>
        <v>1</v>
      </c>
      <c r="D45" s="8">
        <f>COUNTIFS('SOTA full paper filtered'!B5:B197,"International Journal of Automation Technology",'SOTA full paper filtered'!D5:D197,"metalevel")</f>
        <v>0</v>
      </c>
      <c r="E45" s="8">
        <f>COUNTIFS('SOTA full paper filtered'!B5:B197,"International Journal of Automation Technology",'SOTA full paper filtered'!D5:D197,"strategic")</f>
        <v>0</v>
      </c>
      <c r="F45" s="8">
        <f>COUNTIFS('SOTA full paper filtered'!B5:B197,"International Journal of Automation Technology",'SOTA full paper filtered'!D5:D197,"tactical")</f>
        <v>0</v>
      </c>
      <c r="G45" s="8">
        <f>COUNTIFS('SOTA full paper filtered'!B5:B197,"International Journal of Automation Technology",'SOTA full paper filtered'!D5:D197,"operational")</f>
        <v>1</v>
      </c>
    </row>
    <row r="46" spans="2:7" ht="17" thickBot="1" x14ac:dyDescent="0.25">
      <c r="B46" s="92" t="s">
        <v>117</v>
      </c>
      <c r="C46" s="3">
        <f>COUNTIF('SOTA full paper filtered'!$B$5:$B$196,"International Journal of Engineering Education")</f>
        <v>1</v>
      </c>
      <c r="D46" s="8">
        <f>COUNTIFS('SOTA full paper filtered'!B5:B197,"International Journal of Engineering Education",'SOTA full paper filtered'!D5:D197,"metalevel")</f>
        <v>0</v>
      </c>
      <c r="E46" s="8">
        <f>COUNTIFS('SOTA full paper filtered'!B5:B197,"International Journal of Engineering Education",'SOTA full paper filtered'!D5:D197,"strategic")</f>
        <v>0</v>
      </c>
      <c r="F46" s="8">
        <f>COUNTIFS('SOTA full paper filtered'!B5:B197,"International Journal of Engineering Education",'SOTA full paper filtered'!D5:D197,"tactical")</f>
        <v>0</v>
      </c>
      <c r="G46" s="8">
        <f>COUNTIFS('SOTA full paper filtered'!B5:B197,"International Journal of Engineering Education",'SOTA full paper filtered'!D5:D197,"operational")</f>
        <v>1</v>
      </c>
    </row>
    <row r="47" spans="2:7" ht="17" thickBot="1" x14ac:dyDescent="0.25">
      <c r="B47" s="92" t="s">
        <v>116</v>
      </c>
      <c r="C47" s="3">
        <f>COUNTIF('SOTA full paper filtered'!$B$5:$B$196,"International Journal of Product Lifecycle Management")</f>
        <v>1</v>
      </c>
      <c r="D47" s="8">
        <f>COUNTIFS('SOTA full paper filtered'!B5:B197,"International Journal of Product Lifecycle Management",'SOTA full paper filtered'!D5:D197,"metalevel")</f>
        <v>0</v>
      </c>
      <c r="E47" s="8">
        <f>COUNTIFS('SOTA full paper filtered'!B5:B197,"International Journal of Product Lifecycle Management",'SOTA full paper filtered'!D5:D197,"strategic")</f>
        <v>0</v>
      </c>
      <c r="F47" s="8">
        <f>COUNTIFS('SOTA full paper filtered'!B5:B197,"International Journal of Product Lifecycle Management",'SOTA full paper filtered'!D5:D197,"tactical")</f>
        <v>0</v>
      </c>
      <c r="G47" s="8">
        <f>COUNTIFS('SOTA full paper filtered'!B5:B197,"International Journal of Product Lifecycle Management",'SOTA full paper filtered'!D5:D197,"operational")</f>
        <v>1</v>
      </c>
    </row>
    <row r="48" spans="2:7" ht="17" thickBot="1" x14ac:dyDescent="0.25">
      <c r="B48" s="92" t="s">
        <v>27</v>
      </c>
      <c r="C48" s="3">
        <f>COUNTIF('SOTA full paper filtered'!$B$5:$B$196,"International Journal of Supply Chain Management")</f>
        <v>1</v>
      </c>
      <c r="D48" s="8">
        <f>COUNTIFS('SOTA full paper filtered'!B5:B197,"International Journal of Supply Chain Management",'SOTA full paper filtered'!D5:D197,"metalevel")</f>
        <v>0</v>
      </c>
      <c r="E48" s="8">
        <f>COUNTIFS('SOTA full paper filtered'!B5:B197,"International Journal of Supply Chain Management",'SOTA full paper filtered'!D5:D197,"strategic")</f>
        <v>0</v>
      </c>
      <c r="F48" s="8">
        <f>COUNTIFS('SOTA full paper filtered'!B5:B197,"International Journal of Supply Chain Management",'SOTA full paper filtered'!D5:D197,"tactical")</f>
        <v>0</v>
      </c>
      <c r="G48" s="8">
        <f>COUNTIFS('SOTA full paper filtered'!B5:B197,"International Journal of Supply Chain Management",'SOTA full paper filtered'!D5:D197,"operational")</f>
        <v>1</v>
      </c>
    </row>
    <row r="49" spans="2:7" ht="17" thickBot="1" x14ac:dyDescent="0.25">
      <c r="B49" s="92" t="s">
        <v>1</v>
      </c>
      <c r="C49" s="3">
        <f>COUNTIF('SOTA full paper filtered'!$B$5:$B$196,"International Journal of Sustainable Development and World Economy")</f>
        <v>1</v>
      </c>
      <c r="D49" s="8">
        <f>COUNTIFS('SOTA full paper filtered'!B5:B197,"International Journal of Sustainable Development and World Economy",'SOTA full paper filtered'!D5:D197,"metalevel")</f>
        <v>0</v>
      </c>
      <c r="E49" s="8">
        <f>COUNTIFS('SOTA full paper filtered'!B5:B197,"International Journal of Sustainable Development and World Economy",'SOTA full paper filtered'!D5:D197,"strategic")</f>
        <v>0</v>
      </c>
      <c r="F49" s="8">
        <f>COUNTIFS('SOTA full paper filtered'!B5:B197,"International Journal of Sustainable Development and World Economy",'SOTA full paper filtered'!D5:D197,"tactical")</f>
        <v>0</v>
      </c>
      <c r="G49" s="8">
        <f>COUNTIFS('SOTA full paper filtered'!B5:B197,"International Journal of Sustainable Development and World Economy",'SOTA full paper filtered'!D5:D197,"operational")</f>
        <v>1</v>
      </c>
    </row>
    <row r="50" spans="2:7" ht="17" thickBot="1" x14ac:dyDescent="0.25">
      <c r="B50" s="92" t="s">
        <v>81</v>
      </c>
      <c r="C50" s="3">
        <f>COUNTIF('SOTA full paper filtered'!$B$5:$B$196,"International Journal of Sustainable Manufacturing")</f>
        <v>1</v>
      </c>
      <c r="D50" s="8">
        <f>COUNTIFS('SOTA full paper filtered'!B5:B197,"International Journal of Sustainable Manufacturing",'SOTA full paper filtered'!D5:D197,"metalevel")</f>
        <v>0</v>
      </c>
      <c r="E50" s="8">
        <f>COUNTIFS('SOTA full paper filtered'!B5:B197,"International Journal of Sustainable Manufacturing",'SOTA full paper filtered'!D5:D197,"strategic")</f>
        <v>0</v>
      </c>
      <c r="F50" s="8">
        <f>COUNTIFS('SOTA full paper filtered'!B5:B197,"International Journal of Sustainable Manufacturing",'SOTA full paper filtered'!D5:D197,"tactical")</f>
        <v>0</v>
      </c>
      <c r="G50" s="8">
        <f>COUNTIFS('SOTA full paper filtered'!B5:B197,"International Journal of Sustainable Manufacturing",'SOTA full paper filtered'!D5:D197,"operational")</f>
        <v>1</v>
      </c>
    </row>
    <row r="51" spans="2:7" ht="17" thickBot="1" x14ac:dyDescent="0.25">
      <c r="B51" s="92" t="s">
        <v>14</v>
      </c>
      <c r="C51" s="3">
        <f>COUNTIF('SOTA full paper filtered'!$B$5:$B$196,"Journal of Construction Engineering and Management")</f>
        <v>1</v>
      </c>
      <c r="D51" s="8">
        <f>COUNTIFS('SOTA full paper filtered'!B5:B197,"Journal of Construction Engineering and Management",'SOTA full paper filtered'!D5:D197,"metalevel")</f>
        <v>0</v>
      </c>
      <c r="E51" s="8">
        <f>COUNTIFS('SOTA full paper filtered'!B5:B197,"Journal of Construction Engineering and Management",'SOTA full paper filtered'!D5:D197,"strategic")</f>
        <v>0</v>
      </c>
      <c r="F51" s="8">
        <f>COUNTIFS('SOTA full paper filtered'!B5:B197,"Journal of Construction Engineering and Management",'SOTA full paper filtered'!D5:D197,"tactical")</f>
        <v>0</v>
      </c>
      <c r="G51" s="8">
        <f>COUNTIFS('SOTA full paper filtered'!B5:B197,"Journal of Construction Engineering and Management",'SOTA full paper filtered'!D5:D197,"operational")</f>
        <v>1</v>
      </c>
    </row>
    <row r="52" spans="2:7" ht="17" thickBot="1" x14ac:dyDescent="0.25">
      <c r="B52" s="92" t="s">
        <v>12</v>
      </c>
      <c r="C52" s="3">
        <f>COUNTIF('SOTA full paper filtered'!$B$5:$B$196,"Journal of Engineering and Technology Management ")</f>
        <v>1</v>
      </c>
      <c r="D52" s="8">
        <f>COUNTIFS('SOTA full paper filtered'!B5:B197,"Journal of Engineering and Technology Management ",'SOTA full paper filtered'!D5:D197,"metalevel")</f>
        <v>0</v>
      </c>
      <c r="E52" s="8">
        <f>COUNTIFS('SOTA full paper filtered'!B5:B197,"Journal of Engineering and Technology Management ",'SOTA full paper filtered'!D5:D197,"strategic")</f>
        <v>0</v>
      </c>
      <c r="F52" s="8">
        <f>COUNTIFS('SOTA full paper filtered'!B5:B197,"Journal of Engineering and Technology Management ",'SOTA full paper filtered'!D5:D197,"tactical")</f>
        <v>0</v>
      </c>
      <c r="G52" s="8">
        <f>COUNTIFS('SOTA full paper filtered'!B5:B197,"Journal of Engineering and Technology Management ",'SOTA full paper filtered'!D5:D197,"operational")</f>
        <v>1</v>
      </c>
    </row>
    <row r="53" spans="2:7" ht="17" thickBot="1" x14ac:dyDescent="0.25">
      <c r="B53" s="92" t="s">
        <v>24</v>
      </c>
      <c r="C53" s="3">
        <f>COUNTIF('SOTA full paper filtered'!$B$5:$B$196,"Journal of Industrial Ecology")</f>
        <v>1</v>
      </c>
      <c r="D53" s="8">
        <f>COUNTIFS('SOTA full paper filtered'!B5:B197,"Journal of Industrial Ecology",'SOTA full paper filtered'!D5:D197,"metalevel")</f>
        <v>0</v>
      </c>
      <c r="E53" s="8">
        <f>COUNTIFS('SOTA full paper filtered'!B5:B197,"Journal of Industrial Ecology",'SOTA full paper filtered'!D5:D197,"strategic")</f>
        <v>0</v>
      </c>
      <c r="F53" s="8">
        <f>COUNTIFS('SOTA full paper filtered'!B5:B197,"Journal of Industrial Ecology",'SOTA full paper filtered'!D5:D197,"tactical")</f>
        <v>0</v>
      </c>
      <c r="G53" s="8">
        <f>COUNTIFS('SOTA full paper filtered'!B5:B197,"Journal of Industrial Ecology",'SOTA full paper filtered'!D5:D197,"operational")</f>
        <v>1</v>
      </c>
    </row>
    <row r="54" spans="2:7" ht="17" thickBot="1" x14ac:dyDescent="0.25">
      <c r="B54" s="92" t="s">
        <v>119</v>
      </c>
      <c r="C54" s="3">
        <f>COUNTIF('SOTA full paper filtered'!$B$5:$B$196,"Journal of Industrial Engineering and Management")</f>
        <v>1</v>
      </c>
      <c r="D54" s="8">
        <f>COUNTIFS('SOTA full paper filtered'!B5:B197,"Journal of Industrial Engineering and Management",'SOTA full paper filtered'!D5:D197,"metalevel")</f>
        <v>0</v>
      </c>
      <c r="E54" s="8">
        <f>COUNTIFS('SOTA full paper filtered'!B5:B197,"Journal of Industrial Engineering and Management",'SOTA full paper filtered'!D5:D197,"strategic")</f>
        <v>0</v>
      </c>
      <c r="F54" s="8">
        <f>COUNTIFS('SOTA full paper filtered'!B5:B197,"Journal of Industrial Engineering and Management",'SOTA full paper filtered'!D5:D197,"tactical")</f>
        <v>0</v>
      </c>
      <c r="G54" s="8">
        <f>COUNTIFS('SOTA full paper filtered'!B5:B197,"Journal of Industrial Engineering and Management",'SOTA full paper filtered'!D5:D197,"operational")</f>
        <v>1</v>
      </c>
    </row>
    <row r="55" spans="2:7" ht="17" thickBot="1" x14ac:dyDescent="0.25">
      <c r="B55" s="92" t="s">
        <v>8</v>
      </c>
      <c r="C55" s="3">
        <f>COUNTIF('SOTA full paper filtered'!$B$5:$B$196,"Journal of Modelling in Management")</f>
        <v>1</v>
      </c>
      <c r="D55" s="8">
        <f>COUNTIFS('SOTA full paper filtered'!B5:B197,"Journal of Modelling in Management",'SOTA full paper filtered'!D5:D197,"metalevel")</f>
        <v>0</v>
      </c>
      <c r="E55" s="8">
        <f>COUNTIFS('SOTA full paper filtered'!B5:B197,"Journal of Modelling in Management",'SOTA full paper filtered'!D5:D197,"strategic")</f>
        <v>0</v>
      </c>
      <c r="F55" s="8">
        <f>COUNTIFS('SOTA full paper filtered'!B5:B197,"Journal of Modelling in Management",'SOTA full paper filtered'!D5:D197,"tactical")</f>
        <v>0</v>
      </c>
      <c r="G55" s="8">
        <f>COUNTIFS('SOTA full paper filtered'!B5:B197,"Journal of Modelling in Management",'SOTA full paper filtered'!D5:D197,"operational")</f>
        <v>1</v>
      </c>
    </row>
    <row r="56" spans="2:7" ht="17" thickBot="1" x14ac:dyDescent="0.25">
      <c r="B56" s="92" t="s">
        <v>111</v>
      </c>
      <c r="C56" s="3">
        <f>COUNTIF('SOTA full paper filtered'!$B$5:$B$196,"Materials and Design")</f>
        <v>1</v>
      </c>
      <c r="D56" s="8">
        <f>COUNTIFS('SOTA full paper filtered'!B5:B197,"Materials and Design",'SOTA full paper filtered'!D5:D197,"metalevel")</f>
        <v>0</v>
      </c>
      <c r="E56" s="8">
        <f>COUNTIFS('SOTA full paper filtered'!B5:B197,"Materials and Design",'SOTA full paper filtered'!D5:D197,"strategic")</f>
        <v>0</v>
      </c>
      <c r="F56" s="8">
        <f>COUNTIFS('SOTA full paper filtered'!B5:B197,"Materials and Design",'SOTA full paper filtered'!D5:D197,"tactical")</f>
        <v>0</v>
      </c>
      <c r="G56" s="8">
        <f>COUNTIFS('SOTA full paper filtered'!B5:B197,"Materials and Design",'SOTA full paper filtered'!D5:D197,"operational")</f>
        <v>1</v>
      </c>
    </row>
    <row r="57" spans="2:7" ht="17" thickBot="1" x14ac:dyDescent="0.25">
      <c r="B57" s="92" t="s">
        <v>4</v>
      </c>
      <c r="C57" s="3">
        <f>COUNTIF('SOTA full paper filtered'!$B$5:$B$196,"Research in Engineering Design")</f>
        <v>1</v>
      </c>
      <c r="D57" s="8">
        <f>COUNTIFS('SOTA full paper filtered'!B5:B197,"Research in Engineering Design",'SOTA full paper filtered'!D5:D197,"metalevel")</f>
        <v>0</v>
      </c>
      <c r="E57" s="8">
        <f>COUNTIFS('SOTA full paper filtered'!B5:B197,"Research in Engineering Design",'SOTA full paper filtered'!D5:D197,"strategic")</f>
        <v>0</v>
      </c>
      <c r="F57" s="8">
        <f>COUNTIFS('SOTA full paper filtered'!B5:B197,"Research in Engineering Design",'SOTA full paper filtered'!D5:D197,"tactical")</f>
        <v>0</v>
      </c>
      <c r="G57" s="8">
        <f>COUNTIFS('SOTA full paper filtered'!B5:B197,"Research in Engineering Design",'SOTA full paper filtered'!D5:D197,"operational")</f>
        <v>1</v>
      </c>
    </row>
    <row r="58" spans="2:7" ht="17" thickBot="1" x14ac:dyDescent="0.25">
      <c r="B58" s="92" t="s">
        <v>132</v>
      </c>
      <c r="C58" s="3">
        <f>COUNTIF('SOTA full paper filtered'!$B$5:$B$196,"structural survey")</f>
        <v>1</v>
      </c>
      <c r="D58" s="8">
        <f>COUNTIFS('SOTA full paper filtered'!B6:B198,"structural survey",'SOTA full paper filtered'!D5:D197,"metalevel")</f>
        <v>0</v>
      </c>
      <c r="E58" s="8">
        <f>COUNTIFS('SOTA full paper filtered'!B6:B198,"structural survey",'SOTA full paper filtered'!D5:D197,"strategic")</f>
        <v>0</v>
      </c>
      <c r="F58" s="8">
        <f>COUNTIFS('SOTA full paper filtered'!B6:B198,"structural survey",'SOTA full paper filtered'!D5:D197,"tactical")</f>
        <v>0</v>
      </c>
      <c r="G58" s="8">
        <f>COUNTIFS('SOTA full paper filtered'!B6:B198,"structural survey",'SOTA full paper filtered'!D5:D197,"operational")</f>
        <v>1</v>
      </c>
    </row>
    <row r="59" spans="2:7" ht="17" thickBot="1" x14ac:dyDescent="0.25">
      <c r="B59" s="92" t="s">
        <v>107</v>
      </c>
      <c r="C59" s="3">
        <f>COUNTIF('SOTA full paper filtered'!$B$5:$B$196,"Sustainability")</f>
        <v>1</v>
      </c>
      <c r="D59" s="8">
        <f>COUNTIFS('SOTA full paper filtered'!B5:B197,"Sustainability",'SOTA full paper filtered'!D5:D197,"metalevel")</f>
        <v>0</v>
      </c>
      <c r="E59" s="8">
        <f>COUNTIFS('SOTA full paper filtered'!B5:B197,"Sustainability",'SOTA full paper filtered'!D5:D197,"strategic")</f>
        <v>0</v>
      </c>
      <c r="F59" s="8">
        <f>COUNTIFS('SOTA full paper filtered'!B5:B197,"Sustainability",'SOTA full paper filtered'!D5:D197,"tactical")</f>
        <v>0</v>
      </c>
      <c r="G59" s="8">
        <f>COUNTIFS('SOTA full paper filtered'!B5:B197,"Sustainability",'SOTA full paper filtered'!D5:D197,"operational")</f>
        <v>1</v>
      </c>
    </row>
    <row r="60" spans="2:7" ht="17" thickBot="1" x14ac:dyDescent="0.25">
      <c r="B60" s="92" t="s">
        <v>32</v>
      </c>
      <c r="C60" s="3">
        <f>COUNTIF('SOTA full paper filtered'!$B$5:$B$197,"Treatise on Sustainability Science and Engineering")</f>
        <v>1</v>
      </c>
      <c r="D60" s="8">
        <f>COUNTIFS('SOTA full paper filtered'!B5:B197,"Treatise on Sustainability Science and Engineering",'SOTA full paper filtered'!D5:D197,"metalevel")</f>
        <v>0</v>
      </c>
      <c r="E60" s="8">
        <f>COUNTIFS('SOTA full paper filtered'!B5:B197,"Treatise on Sustainability Science and Engineering",'SOTA full paper filtered'!D5:D197,"strategic")</f>
        <v>0</v>
      </c>
      <c r="F60" s="8">
        <f>COUNTIFS('SOTA full paper filtered'!B5:B197,"Treatise on Sustainability Science and Engineering",'SOTA full paper filtered'!D5:D197,"tactical")</f>
        <v>0</v>
      </c>
      <c r="G60" s="8">
        <f>COUNTIFS('SOTA full paper filtered'!B5:B197,"Treatise on Sustainability Science and Engineering",'SOTA full paper filtered'!D5:D197,"operational")</f>
        <v>1</v>
      </c>
    </row>
    <row r="61" spans="2:7" ht="17" thickBot="1" x14ac:dyDescent="0.25">
      <c r="B61" s="92" t="s">
        <v>392</v>
      </c>
      <c r="C61" s="3">
        <f>COUNTIF('SOTA full paper filtered'!$B$5:$B$196,"Civil Engineering and Environmental Systems")</f>
        <v>1</v>
      </c>
      <c r="D61" s="8">
        <f>COUNTIFS('SOTA full paper filtered'!B5:B197,"Civil Engineering and Environmental Systems",'SOTA full paper filtered'!D5:D197,"metalevel")</f>
        <v>0</v>
      </c>
      <c r="E61" s="8">
        <f>COUNTIFS('SOTA full paper filtered'!B6:B198,"Civil Engineering and Environmental Systems",'SOTA full paper filtered'!D5:D197,"strategic")</f>
        <v>0</v>
      </c>
      <c r="F61" s="8">
        <f>COUNTIFS('SOTA full paper filtered'!B6:B198,"Civil Engineering and Environmental Systems",'SOTA full paper filtered'!D5:D197,"tactical")</f>
        <v>0</v>
      </c>
      <c r="G61" s="8">
        <f>COUNTIFS('SOTA full paper filtered'!B6:B198,"Civil Engineering and Environmental Systems",'SOTA full paper filtered'!D5:D197,"operational")</f>
        <v>1</v>
      </c>
    </row>
    <row r="62" spans="2:7" ht="17" thickBot="1" x14ac:dyDescent="0.25">
      <c r="B62" s="92" t="s">
        <v>403</v>
      </c>
      <c r="C62" s="3">
        <f>COUNTIF('SOTA full paper filtered'!$B$5:$B$197,"Applied Soft Computing Journal")</f>
        <v>1</v>
      </c>
      <c r="D62" s="8">
        <f>COUNTIFS('SOTA full paper filtered'!B6:B198,"Applied Soft Computing Journal",'SOTA full paper filtered'!D5:D197,"metalevel")</f>
        <v>0</v>
      </c>
      <c r="E62" s="8">
        <f>COUNTIFS('SOTA full paper filtered'!B6:B198,"Applied Soft Computing Journal",'SOTA full paper filtered'!D5:D197,"strategic")</f>
        <v>0</v>
      </c>
      <c r="F62" s="8">
        <f>COUNTIFS('SOTA full paper filtered'!B6:B198,"Applied Soft Computing Journal",'SOTA full paper filtered'!D5:D197,"tactical")</f>
        <v>0</v>
      </c>
      <c r="G62" s="8">
        <f>COUNTIFS('SOTA full paper filtered'!B6:B198,"Applied Soft Computing Journal",'SOTA full paper filtered'!D5:D197,"operational")</f>
        <v>1</v>
      </c>
    </row>
    <row r="63" spans="2:7" ht="17" thickBot="1" x14ac:dyDescent="0.25">
      <c r="B63" s="92" t="s">
        <v>115</v>
      </c>
      <c r="C63" s="3">
        <f>COUNTIF('SOTA full paper filtered'!$B$5:$B$196,"Archives of Materials Science and Engineering")</f>
        <v>1</v>
      </c>
      <c r="D63" s="8">
        <f>COUNTIFS('SOTA full paper filtered'!B5:B197,"Archives of Materials Science and Engineering",'SOTA full paper filtered'!D5:D197,"metalevel")</f>
        <v>0</v>
      </c>
      <c r="E63" s="8">
        <f>COUNTIFS('SOTA full paper filtered'!B5:B197,"Archives of Materials Science and Engineering",'SOTA full paper filtered'!D5:D197,"strategic")</f>
        <v>0</v>
      </c>
      <c r="F63" s="8">
        <f>COUNTIFS('SOTA full paper filtered'!B5:B197,"Archives of Materials Science and Engineering",'SOTA full paper filtered'!D5:D197,"tactical")</f>
        <v>1</v>
      </c>
      <c r="G63" s="8">
        <f>COUNTIFS('SOTA full paper filtered'!B5:B197,"Archives of Materials Science and Engineering",'SOTA full paper filtered'!D5:D197,"operational")</f>
        <v>0</v>
      </c>
    </row>
    <row r="64" spans="2:7" ht="17" thickBot="1" x14ac:dyDescent="0.25">
      <c r="B64" s="92" t="s">
        <v>34</v>
      </c>
      <c r="C64" s="3">
        <f>COUNTIF('SOTA full paper filtered'!$B$5:$B$196,"Industrial Engineer")</f>
        <v>1</v>
      </c>
      <c r="D64" s="8">
        <f>COUNTIFS('SOTA full paper filtered'!B5:B197,"Industrial Engineer",'SOTA full paper filtered'!D5:D197,"metalevel")</f>
        <v>0</v>
      </c>
      <c r="E64" s="8">
        <f>COUNTIFS('SOTA full paper filtered'!B5:B197,"Industrial Engineer",'SOTA full paper filtered'!D5:D197,"strategic")</f>
        <v>0</v>
      </c>
      <c r="F64" s="8">
        <f>COUNTIFS('SOTA full paper filtered'!B5:B197,"Industrial Engineer",'SOTA full paper filtered'!D5:D197,"tactical")</f>
        <v>1</v>
      </c>
      <c r="G64" s="8">
        <f>COUNTIFS('SOTA full paper filtered'!B5:B197,"Industrial Engineer",'SOTA full paper filtered'!D5:D197,"operational")</f>
        <v>0</v>
      </c>
    </row>
    <row r="65" spans="2:7" ht="17" thickBot="1" x14ac:dyDescent="0.25">
      <c r="B65" s="92" t="s">
        <v>94</v>
      </c>
      <c r="C65" s="3">
        <f>COUNTIF('SOTA full paper filtered'!$B$5:$B$196,"Journal on Chain and Network Science")</f>
        <v>1</v>
      </c>
      <c r="D65" s="8">
        <f>COUNTIFS('SOTA full paper filtered'!B5:B197,"Journal on Chain and Network Science",'SOTA full paper filtered'!D5:D197,"metalevel")</f>
        <v>0</v>
      </c>
      <c r="E65" s="8">
        <f>COUNTIFS('SOTA full paper filtered'!B5:B197,"Journal on Chain and Network Science",'SOTA full paper filtered'!D5:D197,"strategic")</f>
        <v>0</v>
      </c>
      <c r="F65" s="8">
        <f>COUNTIFS('SOTA full paper filtered'!B5:B197,"Journal on Chain and Network Science",'SOTA full paper filtered'!D5:D197,"tactical")</f>
        <v>1</v>
      </c>
      <c r="G65" s="8">
        <f>COUNTIFS('SOTA full paper filtered'!B5:B197,"Journal on Chain and Network Science",'SOTA full paper filtered'!D5:D197,"operational")</f>
        <v>0</v>
      </c>
    </row>
    <row r="66" spans="2:7" ht="17" thickBot="1" x14ac:dyDescent="0.25">
      <c r="B66" s="92" t="s">
        <v>99</v>
      </c>
      <c r="C66" s="3">
        <f>COUNTIF('SOTA full paper filtered'!$B$5:$B$196,"TQM Magazine")</f>
        <v>1</v>
      </c>
      <c r="D66" s="8">
        <f>COUNTIFS('SOTA full paper filtered'!B5:B197,"TQM Magazine",'SOTA full paper filtered'!D5:D197,"metalevel")</f>
        <v>0</v>
      </c>
      <c r="E66" s="8">
        <f>COUNTIFS('SOTA full paper filtered'!B5:B197,"TQM Magazine",'SOTA full paper filtered'!D5:D197,"strategic")</f>
        <v>0</v>
      </c>
      <c r="F66" s="8">
        <f>COUNTIFS('SOTA full paper filtered'!B5:B197,"TQM Magazine",'SOTA full paper filtered'!D5:D197,"tactical")</f>
        <v>1</v>
      </c>
      <c r="G66" s="8">
        <f>COUNTIFS('SOTA full paper filtered'!B5:B197,"TQM Magazine",'SOTA full paper filtered'!D5:D197,"operational")</f>
        <v>0</v>
      </c>
    </row>
    <row r="67" spans="2:7" ht="17" thickBot="1" x14ac:dyDescent="0.25">
      <c r="B67" s="92" t="s">
        <v>397</v>
      </c>
      <c r="C67" s="3">
        <f>COUNTIF('SOTA full paper filtered'!$B$5:$B$196,"Handbook of Research on Global Supply Chain Management")</f>
        <v>1</v>
      </c>
      <c r="D67" s="8">
        <f>COUNTIFS('SOTA full paper filtered'!B6:B198,"Handbook of Research on Global Supply Chain Management",'SOTA full paper filtered'!D5:D197,"metalevel")</f>
        <v>0</v>
      </c>
      <c r="E67" s="8">
        <f>COUNTIFS('SOTA full paper filtered'!B6:B198,"Handbook of Research on Global Supply Chain Management",'SOTA full paper filtered'!D5:D197,"strategic")</f>
        <v>1</v>
      </c>
      <c r="F67" s="8">
        <f>COUNTIFS('SOTA full paper filtered'!B6:B198,"Handbook of Research on Global Supply Chain Management",'SOTA full paper filtered'!D5:D197,"tactical")</f>
        <v>0</v>
      </c>
      <c r="G67" s="8">
        <f>COUNTIFS('SOTA full paper filtered'!B6:B198,"HHandbook of Research on Global Supply Chain Management",'SOTA full paper filtered'!D5:D197,"operational")</f>
        <v>0</v>
      </c>
    </row>
    <row r="68" spans="2:7" ht="17" thickBot="1" x14ac:dyDescent="0.25">
      <c r="B68" s="92" t="s">
        <v>401</v>
      </c>
      <c r="C68" s="3">
        <f>COUNTIF('SOTA full paper filtered'!$B$5:$B$196,"International Journal of Information Technology and Decision Making")</f>
        <v>1</v>
      </c>
      <c r="D68" s="8">
        <f>COUNTIFS('SOTA full paper filtered'!B6:B198,"IInternational Journal of Information Technology and Decision Making",'SOTA full paper filtered'!D5:D197,"metalevel")</f>
        <v>0</v>
      </c>
      <c r="E68" s="8">
        <f>COUNTIFS('SOTA full paper filtered'!B6:B198,"International Journal of Information Technology and Decision Making",'SOTA full paper filtered'!D5:D197,"strategic")</f>
        <v>1</v>
      </c>
      <c r="F68" s="8">
        <f>COUNTIFS('SOTA full paper filtered'!B6:B198,"International Journal of Information Technology and Decision Making",'SOTA full paper filtered'!D5:D197,"tactical")</f>
        <v>0</v>
      </c>
      <c r="G68" s="8">
        <f>COUNTIFS('SOTA full paper filtered'!B6:B198,"International Journal of Information Technology and Decision Making",'SOTA full paper filtered'!D5:D197,"operational")</f>
        <v>0</v>
      </c>
    </row>
    <row r="69" spans="2:7" ht="17" thickBot="1" x14ac:dyDescent="0.25">
      <c r="B69" s="92" t="s">
        <v>402</v>
      </c>
      <c r="C69" s="3">
        <f>COUNTIF('SOTA full paper filtered'!$B$5:$B$196,"Accounting Research Journal")</f>
        <v>1</v>
      </c>
      <c r="D69" s="8">
        <f>COUNTIFS('SOTA full paper filtered'!B5:B197,"Accounting Research Journal",'SOTA full paper filtered'!D5:D197,"metalevel")</f>
        <v>0</v>
      </c>
      <c r="E69" s="8">
        <f>COUNTIFS('SOTA full paper filtered'!B5:B197,"Accounting Research Journal",'SOTA full paper filtered'!D5:D197,"strategic")</f>
        <v>1</v>
      </c>
      <c r="F69" s="8">
        <f>COUNTIFS('SOTA full paper filtered'!B5:B197,"Accounting Research Journal",'SOTA full paper filtered'!D5:D197,"tactical")</f>
        <v>0</v>
      </c>
      <c r="G69" s="8">
        <f>COUNTIFS('SOTA full paper filtered'!B5:B197,"Accounting Research Journal",'SOTA full paper filtered'!D5:D197,"operational")</f>
        <v>0</v>
      </c>
    </row>
    <row r="70" spans="2:7" ht="17" thickBot="1" x14ac:dyDescent="0.25">
      <c r="B70" s="92" t="s">
        <v>91</v>
      </c>
      <c r="C70" s="3">
        <f>COUNTIF('SOTA full paper filtered'!$B$5:$B$196,"Business Horizons")</f>
        <v>1</v>
      </c>
      <c r="D70" s="8">
        <f>COUNTIFS('SOTA full paper filtered'!B5:B197,"Business Horizons",'SOTA full paper filtered'!D5:D197,"metalevel")</f>
        <v>0</v>
      </c>
      <c r="E70" s="8">
        <f>COUNTIFS('SOTA full paper filtered'!B5:B197,"Business Horizons",'SOTA full paper filtered'!D5:D197,"strategic")</f>
        <v>1</v>
      </c>
      <c r="F70" s="8">
        <f>COUNTIFS('SOTA full paper filtered'!B5:B197,"Business Horizons",'SOTA full paper filtered'!D5:D197,"tactical")</f>
        <v>0</v>
      </c>
      <c r="G70" s="8">
        <f>COUNTIFS('SOTA full paper filtered'!B5:B197,"Business Horizons",'SOTA full paper filtered'!D5:D197,"operational")</f>
        <v>0</v>
      </c>
    </row>
    <row r="71" spans="2:7" ht="17" thickBot="1" x14ac:dyDescent="0.25">
      <c r="B71" s="92" t="s">
        <v>393</v>
      </c>
      <c r="C71" s="3">
        <f>COUNTIF('SOTA full paper filtered'!$B$5:$B$196,"Business Ethics")</f>
        <v>1</v>
      </c>
      <c r="D71" s="8">
        <f>COUNTIFS('SOTA full paper filtered'!B6:B198,"Business Ethics",'SOTA full paper filtered'!D5:D197,"metalevel")</f>
        <v>0</v>
      </c>
      <c r="E71" s="8">
        <f>COUNTIFS('SOTA full paper filtered'!B6:B198,"Business Ethics",'SOTA full paper filtered'!D5:D197,"strategic")</f>
        <v>1</v>
      </c>
      <c r="F71" s="8">
        <f>COUNTIFS('SOTA full paper filtered'!B6:B198,"Business Ethics",'SOTA full paper filtered'!D5:D197,"tactical")</f>
        <v>0</v>
      </c>
      <c r="G71" s="8">
        <f>COUNTIFS('SOTA full paper filtered'!B6:B198,"Business Ethics",'SOTA full paper filtered'!D5:D197,"operational")</f>
        <v>0</v>
      </c>
    </row>
    <row r="72" spans="2:7" ht="17" thickBot="1" x14ac:dyDescent="0.25">
      <c r="B72" s="92" t="s">
        <v>122</v>
      </c>
      <c r="C72" s="3">
        <f>COUNTIF('SOTA full paper filtered'!$B$5:$B$196,"Business Process Management Journal")</f>
        <v>1</v>
      </c>
      <c r="D72" s="8">
        <f>COUNTIFS('SOTA full paper filtered'!B5:B197,"Business Process Management Journal",'SOTA full paper filtered'!D5:D197,"metalevel")</f>
        <v>0</v>
      </c>
      <c r="E72" s="8">
        <f>COUNTIFS('SOTA full paper filtered'!B5:B197,"Business Process Management Journal",'SOTA full paper filtered'!D5:D197,"strategic")</f>
        <v>1</v>
      </c>
      <c r="F72" s="8">
        <f>COUNTIFS('SOTA full paper filtered'!B5:B197,"Business Process Management Journal",'SOTA full paper filtered'!D5:D197,"tactical")</f>
        <v>0</v>
      </c>
      <c r="G72" s="8">
        <f>COUNTIFS('SOTA full paper filtered'!B5:B197,"Business Process Management Journal",'SOTA full paper filtered'!D5:D197,"operational")</f>
        <v>0</v>
      </c>
    </row>
    <row r="73" spans="2:7" ht="17" thickBot="1" x14ac:dyDescent="0.25">
      <c r="B73" s="92" t="s">
        <v>36</v>
      </c>
      <c r="C73" s="3">
        <f>COUNTIF('SOTA full paper filtered'!$B$5:$B$196,"California Management Review")</f>
        <v>1</v>
      </c>
      <c r="D73" s="8">
        <f>COUNTIFS('SOTA full paper filtered'!B5:B197,"California Management Review",'SOTA full paper filtered'!D5:D197,"metalevel")</f>
        <v>0</v>
      </c>
      <c r="E73" s="8">
        <f>COUNTIFS('SOTA full paper filtered'!B5:B197,"California Management Review",'SOTA full paper filtered'!D5:D197,"strategic")</f>
        <v>1</v>
      </c>
      <c r="F73" s="8">
        <f>COUNTIFS('SOTA full paper filtered'!B5:B197,"California Management Review",'SOTA full paper filtered'!D5:D197,"tactical")</f>
        <v>0</v>
      </c>
      <c r="G73" s="8">
        <f>COUNTIFS('SOTA full paper filtered'!B5:B197,"California Management Review",'SOTA full paper filtered'!D5:D197,"operational")</f>
        <v>0</v>
      </c>
    </row>
    <row r="74" spans="2:7" ht="17" thickBot="1" x14ac:dyDescent="0.25">
      <c r="B74" s="92" t="s">
        <v>399</v>
      </c>
      <c r="C74" s="3">
        <f>COUNTIF('SOTA full paper filtered'!$B$5:$B$196,"Corporate Governance ")</f>
        <v>1</v>
      </c>
      <c r="D74" s="8">
        <f>COUNTIFS('SOTA full paper filtered'!B6:B198,"Corporate Governance ",'SOTA full paper filtered'!D5:D197,"metalevel")</f>
        <v>1</v>
      </c>
      <c r="E74" s="8">
        <f>COUNTIFS('SOTA full paper filtered'!B6:B198,"Corporate Governance ",'SOTA full paper filtered'!D5:D197,"strategic")</f>
        <v>0</v>
      </c>
      <c r="F74" s="8">
        <f>COUNTIFS('SOTA full paper filtered'!B6:B198,"Corporate Governance ",'SOTA full paper filtered'!D5:D197,"tactical")</f>
        <v>0</v>
      </c>
      <c r="G74" s="8">
        <f>COUNTIFS('SOTA full paper filtered'!B6:B198,"Corporate Governance ",'SOTA full paper filtered'!D5:D197,"operational")</f>
        <v>0</v>
      </c>
    </row>
    <row r="75" spans="2:7" ht="17" thickBot="1" x14ac:dyDescent="0.25">
      <c r="B75" s="92" t="s">
        <v>80</v>
      </c>
      <c r="C75" s="3">
        <f>COUNTIF('SOTA full paper filtered'!$B$5:$B$196,"EuroChoices")</f>
        <v>1</v>
      </c>
      <c r="D75" s="8">
        <f>COUNTIFS('SOTA full paper filtered'!B5:B197,"EuroChoices",'SOTA full paper filtered'!D5:D197,"metalevel")</f>
        <v>0</v>
      </c>
      <c r="E75" s="8">
        <f>COUNTIFS('SOTA full paper filtered'!B5:B197,"EuroChoices",'SOTA full paper filtered'!D5:D197,"strategic")</f>
        <v>1</v>
      </c>
      <c r="F75" s="8">
        <f>COUNTIFS('SOTA full paper filtered'!B5:B197,"EuroChoices",'SOTA full paper filtered'!D5:D197,"tactical")</f>
        <v>0</v>
      </c>
      <c r="G75" s="8">
        <f>COUNTIFS('SOTA full paper filtered'!B5:B197,"EuroChoices",'SOTA full paper filtered'!D5:D197,"operational")</f>
        <v>0</v>
      </c>
    </row>
    <row r="76" spans="2:7" ht="17" thickBot="1" x14ac:dyDescent="0.25">
      <c r="B76" s="92" t="s">
        <v>106</v>
      </c>
      <c r="C76" s="3">
        <f>COUNTIF('SOTA full paper filtered'!$B$5:$B$196,"EuroMed Journal of Business")</f>
        <v>1</v>
      </c>
      <c r="D76" s="8">
        <f>COUNTIFS('SOTA full paper filtered'!B5:B197,"EuroMed Journal of Business",'SOTA full paper filtered'!D5:D197,"metalevel")</f>
        <v>0</v>
      </c>
      <c r="E76" s="8">
        <f>COUNTIFS('SOTA full paper filtered'!B5:B197,"EuroMed Journal of Business",'SOTA full paper filtered'!D5:D197,"strategic")</f>
        <v>1</v>
      </c>
      <c r="F76" s="8">
        <f>COUNTIFS('SOTA full paper filtered'!B5:B197,"EuroMed Journal of Business",'SOTA full paper filtered'!D5:D197,"tactical")</f>
        <v>0</v>
      </c>
      <c r="G76" s="8">
        <f>COUNTIFS('SOTA full paper filtered'!B5:B197,"EuroMed Journal of Business",'SOTA full paper filtered'!D5:D197,"operational")</f>
        <v>0</v>
      </c>
    </row>
    <row r="77" spans="2:7" ht="17" thickBot="1" x14ac:dyDescent="0.25">
      <c r="B77" s="92" t="s">
        <v>33</v>
      </c>
      <c r="C77" s="3">
        <f>COUNTIF('SOTA full paper filtered'!$B$5:$B$196,"European Business Review")</f>
        <v>1</v>
      </c>
      <c r="D77" s="8">
        <f>COUNTIFS('SOTA full paper filtered'!B5:B197,"European Business Review",'SOTA full paper filtered'!D5:D197,"metalevel")</f>
        <v>0</v>
      </c>
      <c r="E77" s="8">
        <f>COUNTIFS('SOTA full paper filtered'!B5:B197,"European Business Review",'SOTA full paper filtered'!D5:D197,"strategic")</f>
        <v>1</v>
      </c>
      <c r="F77" s="8">
        <f>COUNTIFS('SOTA full paper filtered'!B5:B197,"European Business Review",'SOTA full paper filtered'!D5:D197,"tactical")</f>
        <v>0</v>
      </c>
      <c r="G77" s="8">
        <f>COUNTIFS('SOTA full paper filtered'!B5:B197,"European Business Review",'SOTA full paper filtered'!D5:D197,"operational")</f>
        <v>0</v>
      </c>
    </row>
    <row r="78" spans="2:7" ht="17" thickBot="1" x14ac:dyDescent="0.25">
      <c r="B78" s="92" t="s">
        <v>101</v>
      </c>
      <c r="C78" s="3">
        <f>COUNTIF('SOTA full paper filtered'!$B$5:$B$196,"European Journal of Innovation Management")</f>
        <v>1</v>
      </c>
      <c r="D78" s="8">
        <f>COUNTIFS('SOTA full paper filtered'!B5:B197,"European Journal of Innovation Management",'SOTA full paper filtered'!D5:D197,"metalevel")</f>
        <v>0</v>
      </c>
      <c r="E78" s="8">
        <f>COUNTIFS('SOTA full paper filtered'!B5:B197,"European Journal of Innovation Management",'SOTA full paper filtered'!D5:D197,"strategic")</f>
        <v>1</v>
      </c>
      <c r="F78" s="8">
        <f>COUNTIFS('SOTA full paper filtered'!B5:B197,"European Journal of Innovation Management",'SOTA full paper filtered'!D5:D197,"tactical")</f>
        <v>0</v>
      </c>
      <c r="G78" s="8">
        <f>COUNTIFS('SOTA full paper filtered'!B5:B197,"European Journal of Innovation Management",'SOTA full paper filtered'!D5:D197,"operational")</f>
        <v>0</v>
      </c>
    </row>
    <row r="79" spans="2:7" ht="17" thickBot="1" x14ac:dyDescent="0.25">
      <c r="B79" s="92" t="s">
        <v>131</v>
      </c>
      <c r="C79" s="3">
        <f>COUNTIF('SOTA full paper filtered'!$B$5:$B$196,"European Journal of Operational Research")</f>
        <v>1</v>
      </c>
      <c r="D79" s="8">
        <f>COUNTIFS('SOTA full paper filtered'!B5:B197,"European Journal of Operational Research",'SOTA full paper filtered'!D5:D197,"metalevel")</f>
        <v>0</v>
      </c>
      <c r="E79" s="8">
        <f>COUNTIFS('SOTA full paper filtered'!B5:B197,"European Journal of Operational Research",'SOTA full paper filtered'!D5:D197,"strategic")</f>
        <v>1</v>
      </c>
      <c r="F79" s="8">
        <f>COUNTIFS('SOTA full paper filtered'!B5:B197,"European Journal of Operational Research",'SOTA full paper filtered'!D5:D197,"tactical")</f>
        <v>0</v>
      </c>
      <c r="G79" s="8">
        <f>COUNTIFS('SOTA full paper filtered'!B5:B197,"European Journal of Operational Research",'SOTA full paper filtered'!D5:D197,"operational")</f>
        <v>0</v>
      </c>
    </row>
    <row r="80" spans="2:7" ht="17" thickBot="1" x14ac:dyDescent="0.25">
      <c r="B80" s="92" t="s">
        <v>120</v>
      </c>
      <c r="C80" s="3">
        <f>COUNTIF('SOTA full paper filtered'!$B$5:$B$196,"Foresight")</f>
        <v>1</v>
      </c>
      <c r="D80" s="8">
        <f>COUNTIFS('SOTA full paper filtered'!B5:B197,"Foresight",'SOTA full paper filtered'!D5:D197,"metalevel")</f>
        <v>0</v>
      </c>
      <c r="E80" s="8">
        <f>COUNTIFS('SOTA full paper filtered'!B5:B197,"Foresight",'SOTA full paper filtered'!D5:D197,"strategic")</f>
        <v>1</v>
      </c>
      <c r="F80" s="8">
        <f>COUNTIFS('SOTA full paper filtered'!B5:B197,"Foresight",'SOTA full paper filtered'!D5:D197,"tactical")</f>
        <v>0</v>
      </c>
      <c r="G80" s="8">
        <f>COUNTIFS('SOTA full paper filtered'!B5:B197,"Foresight",'SOTA full paper filtered'!D5:D197,"operational")</f>
        <v>0</v>
      </c>
    </row>
    <row r="81" spans="2:7" ht="17" thickBot="1" x14ac:dyDescent="0.25">
      <c r="B81" s="92" t="s">
        <v>104</v>
      </c>
      <c r="C81" s="3">
        <f>COUNTIF('SOTA full paper filtered'!$B$5:$B$196,"Handbook of Research on Sustainable Development and Economics")</f>
        <v>1</v>
      </c>
      <c r="D81" s="8">
        <f>COUNTIFS('SOTA full paper filtered'!B5:B197,"Handbook of Research on Sustainable Development and Economics",'SOTA full paper filtered'!D5:D197,"metalevel")</f>
        <v>0</v>
      </c>
      <c r="E81" s="8">
        <f>COUNTIFS('SOTA full paper filtered'!B5:B197,"Handbook of Research on Sustainable Development and Economics",'SOTA full paper filtered'!D5:D197,"strategic")</f>
        <v>1</v>
      </c>
      <c r="F81" s="8">
        <f>COUNTIFS('SOTA full paper filtered'!B5:B197,"Handbook of Research on Sustainable Development and Economics",'SOTA full paper filtered'!D5:D197,"tactical")</f>
        <v>0</v>
      </c>
      <c r="G81" s="8">
        <f>COUNTIFS('SOTA full paper filtered'!B5:B197,"Handbook of Research on Sustainable Development and Economics",'SOTA full paper filtered'!D5:D197,"operational")</f>
        <v>0</v>
      </c>
    </row>
    <row r="82" spans="2:7" ht="17" thickBot="1" x14ac:dyDescent="0.25">
      <c r="B82" s="92" t="s">
        <v>400</v>
      </c>
      <c r="C82" s="3">
        <f>COUNTIF('SOTA full paper filtered'!$B$5:$B$196,"Industrial Marketing Management")</f>
        <v>1</v>
      </c>
      <c r="D82" s="8">
        <f>COUNTIFS('SOTA full paper filtered'!B6:B198,"Industrial Marketing Management",'SOTA full paper filtered'!D5:D197,"metalevel")</f>
        <v>0</v>
      </c>
      <c r="E82" s="8">
        <v>1</v>
      </c>
      <c r="F82" s="8">
        <f>COUNTIFS('SOTA full paper filtered'!B6:B198,"Industrial Marketing Management",'SOTA full paper filtered'!D5:D197,"tactical")</f>
        <v>0</v>
      </c>
      <c r="G82" s="8">
        <f>COUNTIFS('SOTA full paper filtered'!B6:B198,"Industrial Marketing Management",'SOTA full paper filtered'!D5:D197,"operational")</f>
        <v>0</v>
      </c>
    </row>
    <row r="83" spans="2:7" ht="17" thickBot="1" x14ac:dyDescent="0.25">
      <c r="B83" s="92" t="s">
        <v>398</v>
      </c>
      <c r="C83" s="3">
        <f>COUNTIF('SOTA full paper filtered'!$B$5:$B$196,"International Journal of Engineering Research in Africa")</f>
        <v>1</v>
      </c>
      <c r="D83" s="8">
        <f>COUNTIFS('SOTA full paper filtered'!B6:B198,"International Journal of Engineering Research in Africa",'SOTA full paper filtered'!D5:D197,"metalevel")</f>
        <v>0</v>
      </c>
      <c r="E83" s="8">
        <f>COUNTIFS('SOTA full paper filtered'!B6:B198,"International Journal of Engineering Research in Africa",'SOTA full paper filtered'!D5:D197,"strategic")</f>
        <v>1</v>
      </c>
      <c r="F83" s="8">
        <f>COUNTIFS('SOTA full paper filtered'!B6:B198,"International Journal of Engineering Research in Africa",'SOTA full paper filtered'!D5:D197,"tactical")</f>
        <v>0</v>
      </c>
      <c r="G83" s="8">
        <f>COUNTIFS('SOTA full paper filtered'!B6:B198,"International Journal of Engineering Research in Africa",'SOTA full paper filtered'!D5:D197,"operational")</f>
        <v>0</v>
      </c>
    </row>
    <row r="84" spans="2:7" ht="17" thickBot="1" x14ac:dyDescent="0.25">
      <c r="B84" s="92" t="s">
        <v>126</v>
      </c>
      <c r="C84" s="3">
        <f>COUNTIF('SOTA full paper filtered'!$B$5:$B$196,"International Journal of Industrial Engineering : Theory Applications and Practice")</f>
        <v>1</v>
      </c>
      <c r="D84" s="8">
        <f>COUNTIFS('SOTA full paper filtered'!B5:B197,"International Journal of Industrial Engineering : Theory Applications and Practice",'SOTA full paper filtered'!D5:D197,"metalevel")</f>
        <v>0</v>
      </c>
      <c r="E84" s="8">
        <f>COUNTIFS('SOTA full paper filtered'!B5:B197,"International Journal of Industrial Engineering : Theory Applications and Practice",'SOTA full paper filtered'!D5:D197,"strategic")</f>
        <v>1</v>
      </c>
      <c r="F84" s="8">
        <f>COUNTIFS('SOTA full paper filtered'!B5:B197,"International Journal of Industrial Engineering : Theory Applications and Practice",'SOTA full paper filtered'!D5:D197,"tactical")</f>
        <v>0</v>
      </c>
      <c r="G84" s="8">
        <f>COUNTIFS('SOTA full paper filtered'!B5:B197,"International Journal of Industrial Engineering : Theory Applications and Practice",'SOTA full paper filtered'!D5:D197,"operational")</f>
        <v>0</v>
      </c>
    </row>
    <row r="85" spans="2:7" ht="17" thickBot="1" x14ac:dyDescent="0.25">
      <c r="B85" s="92" t="s">
        <v>82</v>
      </c>
      <c r="C85" s="3">
        <f>COUNTIF('SOTA full paper filtered'!$B$5:$B$196,"International Journal of Innovation Science")</f>
        <v>1</v>
      </c>
      <c r="D85" s="8">
        <f>COUNTIFS('SOTA full paper filtered'!B5:B197,"International Journal of Innovation Science",'SOTA full paper filtered'!D5:D197,"metalevel")</f>
        <v>0</v>
      </c>
      <c r="E85" s="8">
        <f>COUNTIFS('SOTA full paper filtered'!B5:B197,"International Journal of Innovation Science",'SOTA full paper filtered'!D5:D197,"strategic")</f>
        <v>1</v>
      </c>
      <c r="F85" s="8">
        <f>COUNTIFS('SOTA full paper filtered'!B5:B197,"International Journal of Innovation Science",'SOTA full paper filtered'!D5:D197,"tactical")</f>
        <v>0</v>
      </c>
      <c r="G85" s="8">
        <f>COUNTIFS('SOTA full paper filtered'!B5:B197,"International Journal of Innovation Science",'SOTA full paper filtered'!D5:D197,"operational")</f>
        <v>0</v>
      </c>
    </row>
    <row r="86" spans="2:7" ht="17" thickBot="1" x14ac:dyDescent="0.25">
      <c r="B86" s="92" t="s">
        <v>22</v>
      </c>
      <c r="C86" s="3">
        <f>COUNTIF('SOTA full paper filtered'!$B$5:$B$196,"International Journal of Interdisciplinary Social Sciences")</f>
        <v>1</v>
      </c>
      <c r="D86" s="8">
        <f>COUNTIFS('SOTA full paper filtered'!B5:B197,"International Journal of Interdisciplinary Social Sciences",'SOTA full paper filtered'!D5:D197,"metalevel")</f>
        <v>0</v>
      </c>
      <c r="E86" s="8">
        <f>COUNTIFS('SOTA full paper filtered'!B5:B197,"International Journal of Interdisciplinary Social Sciences",'SOTA full paper filtered'!D5:D197,"strategic")</f>
        <v>1</v>
      </c>
      <c r="F86" s="8">
        <f>COUNTIFS('SOTA full paper filtered'!B5:B197,"International Journal of Interdisciplinary Social Sciences",'SOTA full paper filtered'!D5:D197,"tactical")</f>
        <v>0</v>
      </c>
      <c r="G86" s="8">
        <f>COUNTIFS('SOTA full paper filtered'!B5:B197,"International Journal of Interdisciplinary Social Sciences",'SOTA full paper filtered'!D5:D197,"operational")</f>
        <v>0</v>
      </c>
    </row>
    <row r="87" spans="2:7" ht="17" thickBot="1" x14ac:dyDescent="0.25">
      <c r="B87" s="92" t="s">
        <v>123</v>
      </c>
      <c r="C87" s="3">
        <f>COUNTIF('SOTA full paper filtered'!$B$5:$B$196,"Journal of Accounting and Organizational Change")</f>
        <v>1</v>
      </c>
      <c r="D87" s="8">
        <f>COUNTIFS('SOTA full paper filtered'!B5:B197,"Journal of Accounting and Organizational Change",'SOTA full paper filtered'!D5:D197,"metalevel")</f>
        <v>0</v>
      </c>
      <c r="E87" s="8">
        <f>COUNTIFS('SOTA full paper filtered'!B5:B197,"Journal of Accounting and Organizational Change",'SOTA full paper filtered'!D5:D197,"strategic")</f>
        <v>1</v>
      </c>
      <c r="F87" s="8">
        <f>COUNTIFS('SOTA full paper filtered'!B5:B197,"Journal of Accounting and Organizational Change",'SOTA full paper filtered'!D5:D197,"tactical")</f>
        <v>0</v>
      </c>
      <c r="G87" s="8">
        <f>COUNTIFS('SOTA full paper filtered'!B5:B197,"Journal of Accounting and Organizational Change",'SOTA full paper filtered'!D5:D197,"operational")</f>
        <v>0</v>
      </c>
    </row>
    <row r="88" spans="2:7" ht="17" thickBot="1" x14ac:dyDescent="0.25">
      <c r="B88" s="92" t="s">
        <v>89</v>
      </c>
      <c r="C88" s="3">
        <f>COUNTIF('SOTA full paper filtered'!$B$5:$B$196,"Journal of Business and Industrial Marketing")</f>
        <v>1</v>
      </c>
      <c r="D88" s="8">
        <f>COUNTIFS('SOTA full paper filtered'!B5:B197,"Journal of Business and Industrial Marketing",'SOTA full paper filtered'!D5:D197,"metalevel")</f>
        <v>0</v>
      </c>
      <c r="E88" s="8">
        <f>COUNTIFS('SOTA full paper filtered'!B5:B197,"Journal of Business and Industrial Marketing",'SOTA full paper filtered'!D5:D197,"strategic")</f>
        <v>1</v>
      </c>
      <c r="F88" s="8">
        <f>COUNTIFS('SOTA full paper filtered'!B5:B197,"Journal of Business and Industrial Marketing",'SOTA full paper filtered'!D5:D197,"tactical")</f>
        <v>0</v>
      </c>
      <c r="G88" s="8">
        <f>COUNTIFS('SOTA full paper filtered'!B5:B197,"Journal of Business and Industrial Marketing",'SOTA full paper filtered'!D5:D197,"operational")</f>
        <v>0</v>
      </c>
    </row>
    <row r="89" spans="2:7" ht="17" thickBot="1" x14ac:dyDescent="0.25">
      <c r="B89" s="92" t="s">
        <v>95</v>
      </c>
      <c r="C89" s="3">
        <f>COUNTIF('SOTA full paper filtered'!$B$5:$B$196,"Journal of Environmental Management")</f>
        <v>1</v>
      </c>
      <c r="D89" s="8">
        <f>COUNTIFS('SOTA full paper filtered'!B6:B198,"Journal of Environmental Management",'SOTA full paper filtered'!D5:D197,"metalevel")</f>
        <v>0</v>
      </c>
      <c r="E89" s="8">
        <f>COUNTIFS('SOTA full paper filtered'!B6:B198,"Journal of Environmental Management",'SOTA full paper filtered'!D5:D197,"strategic")</f>
        <v>0</v>
      </c>
      <c r="F89" s="8">
        <f>COUNTIFS('SOTA full paper filtered'!B6:B198,"Journal of Environmental Management",'SOTA full paper filtered'!D5:D197,"tactical")</f>
        <v>0</v>
      </c>
      <c r="G89" s="8">
        <f>COUNTIFS('SOTA full paper filtered'!B6:B198,"Journal of Environmental Management",'SOTA full paper filtered'!D5:D197,"operational")</f>
        <v>1</v>
      </c>
    </row>
    <row r="90" spans="2:7" ht="17" thickBot="1" x14ac:dyDescent="0.25">
      <c r="B90" s="92" t="s">
        <v>93</v>
      </c>
      <c r="C90" s="3">
        <f>COUNTIF('SOTA full paper filtered'!$B$5:$B$196,"Journal of Industrial and Production Engineering")</f>
        <v>1</v>
      </c>
      <c r="D90" s="8">
        <f>COUNTIFS('SOTA full paper filtered'!B5:B197,"Journal of Industrial and Production Engineering",'SOTA full paper filtered'!D5:D197,"metalevel")</f>
        <v>0</v>
      </c>
      <c r="E90" s="8">
        <f>COUNTIFS('SOTA full paper filtered'!B5:B197,"Journal of Industrial and Production Engineering",'SOTA full paper filtered'!D5:D197,"strategic")</f>
        <v>1</v>
      </c>
      <c r="F90" s="8">
        <f>COUNTIFS('SOTA full paper filtered'!B5:B197,"Journal of Industrial and Production Engineering",'SOTA full paper filtered'!D5:D197,"tactical")</f>
        <v>0</v>
      </c>
      <c r="G90" s="8">
        <f>COUNTIFS('SOTA full paper filtered'!B5:B197,"Journal of Industrial and Production Engineering",'SOTA full paper filtered'!D5:D197,"operational")</f>
        <v>0</v>
      </c>
    </row>
    <row r="91" spans="2:7" ht="17" thickBot="1" x14ac:dyDescent="0.25">
      <c r="B91" s="92" t="s">
        <v>87</v>
      </c>
      <c r="C91" s="3">
        <f>COUNTIF('SOTA full paper filtered'!$B$5:$B$196,"Journal of Product Innovation Management")</f>
        <v>1</v>
      </c>
      <c r="D91" s="8">
        <f>COUNTIFS('SOTA full paper filtered'!B5:B197,"Journal of Product Innovation Management",'SOTA full paper filtered'!D5:D197,"metalevel")</f>
        <v>0</v>
      </c>
      <c r="E91" s="8">
        <f>COUNTIFS('SOTA full paper filtered'!B5:B197,"Journal of Product Innovation Management",'SOTA full paper filtered'!D5:D197,"strategic")</f>
        <v>1</v>
      </c>
      <c r="F91" s="8">
        <f>COUNTIFS('SOTA full paper filtered'!B5:B197,"Journal of Product Innovation Management",'SOTA full paper filtered'!D5:D197,"tactical")</f>
        <v>0</v>
      </c>
      <c r="G91" s="8">
        <f>COUNTIFS('SOTA full paper filtered'!B5:B197,"Journal of Product Innovation Management",'SOTA full paper filtered'!D5:D197,"operational")</f>
        <v>0</v>
      </c>
    </row>
    <row r="92" spans="2:7" ht="17" thickBot="1" x14ac:dyDescent="0.25">
      <c r="B92" s="92" t="s">
        <v>121</v>
      </c>
      <c r="C92" s="3">
        <f>COUNTIF('SOTA full paper filtered'!$B$5:$B$196,"Kybernetes")</f>
        <v>1</v>
      </c>
      <c r="D92" s="8">
        <f>COUNTIFS('SOTA full paper filtered'!B5:B197,"Kybernetes",'SOTA full paper filtered'!D5:D197,"metalevel")</f>
        <v>0</v>
      </c>
      <c r="E92" s="8">
        <f>COUNTIFS('SOTA full paper filtered'!B5:B197,"Kybernetes",'SOTA full paper filtered'!D5:D197,"strategic")</f>
        <v>1</v>
      </c>
      <c r="F92" s="8">
        <f>COUNTIFS('SOTA full paper filtered'!B5:B197,"Kybernetes",'SOTA full paper filtered'!D5:D197,"tactical")</f>
        <v>0</v>
      </c>
      <c r="G92" s="8">
        <f>COUNTIFS('SOTA full paper filtered'!B5:B197,"Kybernetes",'SOTA full paper filtered'!D5:D197,"operational")</f>
        <v>0</v>
      </c>
    </row>
    <row r="93" spans="2:7" ht="17" thickBot="1" x14ac:dyDescent="0.25">
      <c r="B93" s="92" t="s">
        <v>118</v>
      </c>
      <c r="C93" s="3">
        <f>COUNTIF('SOTA full paper filtered'!$B$5:$B$196,"Manufacturing and Service Operations Management")</f>
        <v>1</v>
      </c>
      <c r="D93" s="8">
        <f>COUNTIFS('SOTA full paper filtered'!B5:B197,"Manufacturing and Service Operations Management",'SOTA full paper filtered'!D5:D197,"metalevel")</f>
        <v>0</v>
      </c>
      <c r="E93" s="8">
        <f>COUNTIFS('SOTA full paper filtered'!B5:B197,"Manufacturing and Service Operations Management",'SOTA full paper filtered'!D5:D197,"strategic")</f>
        <v>1</v>
      </c>
      <c r="F93" s="8">
        <f>COUNTIFS('SOTA full paper filtered'!B5:B197,"Manufacturing and Service Operations Management",'SOTA full paper filtered'!D5:D197,"tactical")</f>
        <v>0</v>
      </c>
      <c r="G93" s="8">
        <f>COUNTIFS('SOTA full paper filtered'!B5:B197,"Manufacturing and Service Operations Management",'SOTA full paper filtered'!D5:D197,"operational")</f>
        <v>0</v>
      </c>
    </row>
    <row r="94" spans="2:7" ht="17" thickBot="1" x14ac:dyDescent="0.25">
      <c r="B94" s="92" t="s">
        <v>110</v>
      </c>
      <c r="C94" s="3">
        <f>COUNTIF('SOTA full paper filtered'!$B$5:$B$196,"Problemy Ekorozwoju")</f>
        <v>1</v>
      </c>
      <c r="D94" s="8">
        <f>COUNTIFS('SOTA full paper filtered'!B5:B197,"Problemy Ekorozwoju",'SOTA full paper filtered'!D5:D197,"metalevel")</f>
        <v>0</v>
      </c>
      <c r="E94" s="8">
        <f>COUNTIFS('SOTA full paper filtered'!B5:B197,"Problemy Ekorozwoju",'SOTA full paper filtered'!D5:D197,"strategic")</f>
        <v>1</v>
      </c>
      <c r="F94" s="8">
        <f>COUNTIFS('SOTA full paper filtered'!B5:B197,"Problemy Ekorozwoju",'SOTA full paper filtered'!D5:D197,"tactical")</f>
        <v>0</v>
      </c>
      <c r="G94" s="8">
        <f>COUNTIFS('SOTA full paper filtered'!B5:B197,"Problemy Ekorozwoju",'SOTA full paper filtered'!D5:D197,"operational")</f>
        <v>0</v>
      </c>
    </row>
    <row r="95" spans="2:7" ht="17" thickBot="1" x14ac:dyDescent="0.25">
      <c r="B95" s="92" t="s">
        <v>92</v>
      </c>
      <c r="C95" s="3">
        <f>COUNTIF('SOTA full paper filtered'!$B$5:$B$196,"Research Technology Management")</f>
        <v>1</v>
      </c>
      <c r="D95" s="8">
        <f>COUNTIFS('SOTA full paper filtered'!B5:B197,"Research Technology Management",'SOTA full paper filtered'!D5:D197,"metalevel")</f>
        <v>0</v>
      </c>
      <c r="E95" s="8">
        <f>COUNTIFS('SOTA full paper filtered'!B5:B197,"Research Technology Management",'SOTA full paper filtered'!D5:D197,"strategic")</f>
        <v>1</v>
      </c>
      <c r="F95" s="8">
        <f>COUNTIFS('SOTA full paper filtered'!B5:B197,"Research Technology Management",'SOTA full paper filtered'!D5:D197,"tactical")</f>
        <v>0</v>
      </c>
      <c r="G95" s="8">
        <f>COUNTIFS('SOTA full paper filtered'!B5:B197,"Research Technology Management",'SOTA full paper filtered'!D5:D197,"operational")</f>
        <v>0</v>
      </c>
    </row>
    <row r="96" spans="2:7" ht="17" thickBot="1" x14ac:dyDescent="0.25">
      <c r="B96" s="92" t="s">
        <v>395</v>
      </c>
      <c r="C96" s="3">
        <f>COUNTIF('SOTA full paper filtered'!$B$5:$B$197,"Service business")</f>
        <v>1</v>
      </c>
      <c r="D96" s="8">
        <f>COUNTIFS('SOTA full paper filtered'!B5:B197,"Service business",'SOTA full paper filtered'!D5:D197,"metalevel")</f>
        <v>0</v>
      </c>
      <c r="E96" s="8">
        <f>COUNTIFS('SOTA full paper filtered'!B5:B197,"service business",'SOTA full paper filtered'!D5:D197,"strategic")</f>
        <v>1</v>
      </c>
      <c r="F96" s="8">
        <f>COUNTIFS('SOTA full paper filtered'!B5:B197,"service business",'SOTA full paper filtered'!D5:D197,"tactical")</f>
        <v>0</v>
      </c>
      <c r="G96" s="8">
        <f>COUNTIFS('SOTA full paper filtered'!B5:B197,"service business",'SOTA full paper filtered'!D5:D197,"operational")</f>
        <v>0</v>
      </c>
    </row>
    <row r="97" spans="2:7" ht="17" thickBot="1" x14ac:dyDescent="0.25">
      <c r="B97" s="92" t="s">
        <v>83</v>
      </c>
      <c r="C97" s="3">
        <f>COUNTIF('SOTA full paper filtered'!$B$5:$B$196,"Service Science Research, Strategy and Innovation: Dynamic Knowledge Management Methods")</f>
        <v>1</v>
      </c>
      <c r="D97" s="8">
        <f>COUNTIFS('SOTA full paper filtered'!B5:B197,"Service Science Research, Strategy and Innovation: Dynamic Knowledge Management Methods",'SOTA full paper filtered'!D5:D197,"metalevel")</f>
        <v>0</v>
      </c>
      <c r="E97" s="8">
        <f>COUNTIFS('SOTA full paper filtered'!B5:B197,"Service Science Research, Strategy and Innovation: Dynamic Knowledge Management Methods",'SOTA full paper filtered'!D5:D197,"strategic")</f>
        <v>1</v>
      </c>
      <c r="F97" s="8">
        <f>COUNTIFS('SOTA full paper filtered'!B5:B197,"Service Science Research, Strategy and Innovation: Dynamic Knowledge Management Methods",'SOTA full paper filtered'!D5:D197,"tactical")</f>
        <v>0</v>
      </c>
      <c r="G97" s="8">
        <f>COUNTIFS('SOTA full paper filtered'!B5:B197,"Service Science Research, Strategy and Innovation: Dynamic Knowledge Management Methods",'SOTA full paper filtered'!D5:D197,"operational")</f>
        <v>0</v>
      </c>
    </row>
    <row r="98" spans="2:7" ht="17" thickBot="1" x14ac:dyDescent="0.25">
      <c r="B98" s="92" t="s">
        <v>35</v>
      </c>
      <c r="C98" s="3">
        <f>COUNTIF('SOTA full paper filtered'!$B$5:$B$196,"SpringerBriefs in Applied Sciences and Technology")</f>
        <v>1</v>
      </c>
      <c r="D98" s="8">
        <f>COUNTIFS('SOTA full paper filtered'!B5:B197,"SpringerBriefs in Applied Sciences and Technology",'SOTA full paper filtered'!D5:D197,"metalevel")</f>
        <v>0</v>
      </c>
      <c r="E98" s="8">
        <f>COUNTIFS('SOTA full paper filtered'!B5:B197,"SpringerBriefs in Applied Sciences and Technology",'SOTA full paper filtered'!D5:D197,"strategic")</f>
        <v>1</v>
      </c>
      <c r="F98" s="8">
        <f>COUNTIFS('SOTA full paper filtered'!B5:B197,"SpringerBriefs in Applied Sciences and Technology",'SOTA full paper filtered'!D5:D197,"tactical")</f>
        <v>0</v>
      </c>
      <c r="G98" s="8">
        <f>COUNTIFS('SOTA full paper filtered'!B5:B197,"SpringerBriefs in Applied Sciences and Technology",'SOTA full paper filtered'!D5:D197,"operational")</f>
        <v>0</v>
      </c>
    </row>
    <row r="99" spans="2:7" ht="17" thickBot="1" x14ac:dyDescent="0.25">
      <c r="B99" s="92" t="s">
        <v>124</v>
      </c>
      <c r="C99" s="3">
        <f>COUNTIF('SOTA full paper filtered'!$B$5:$B$196,"Sustainability: Multi-Disciplinary Perspectives")</f>
        <v>1</v>
      </c>
      <c r="D99" s="8">
        <f>COUNTIFS('SOTA full paper filtered'!B5:B197,"Sustainability: Multi-Disciplinary Perspectives",'SOTA full paper filtered'!D5:D197,"metalevel")</f>
        <v>0</v>
      </c>
      <c r="E99" s="8">
        <f>COUNTIFS('SOTA full paper filtered'!B5:B197,"Sustainability: Multi-Disciplinary Perspectives",'SOTA full paper filtered'!D5:D197,"strategic")</f>
        <v>1</v>
      </c>
      <c r="F99" s="8">
        <f>COUNTIFS('SOTA full paper filtered'!B5:B197,"Sustainability: Multi-Disciplinary Perspectives",'SOTA full paper filtered'!D5:D197,"tactical")</f>
        <v>0</v>
      </c>
      <c r="G99" s="8">
        <f>COUNTIFS('SOTA full paper filtered'!B5:B197,"Sustainability: Multi-Disciplinary Perspectives",'SOTA full paper filtered'!D5:D197,"operational")</f>
        <v>0</v>
      </c>
    </row>
    <row r="100" spans="2:7" ht="17" thickBot="1" x14ac:dyDescent="0.25">
      <c r="B100" s="92" t="s">
        <v>100</v>
      </c>
      <c r="C100" s="3">
        <f>COUNTIF('SOTA full paper filtered'!$B$5:$B$196,"Technological, Managerial and Organizational Core Competencies: Dynamic Innovation and Sustainable Development")</f>
        <v>1</v>
      </c>
      <c r="D100" s="8">
        <f>COUNTIFS('SOTA full paper filtered'!B5:B197,"Technological, Managerial and Organizational Core Competencies: Dynamic Innovation and Sustainable Development",'SOTA full paper filtered'!D5:D197,"metalevel")</f>
        <v>0</v>
      </c>
      <c r="E100" s="8">
        <f>COUNTIFS('SOTA full paper filtered'!B5:B197,"Technological, Managerial and Organizational Core Competencies: Dynamic Innovation and Sustainable Development",'SOTA full paper filtered'!D5:D197,"strategic")</f>
        <v>1</v>
      </c>
      <c r="F100" s="8">
        <f>COUNTIFS('SOTA full paper filtered'!B5:B197,"Technological, Managerial and Organizational Core Competencies: Dynamic Innovation and Sustainable Development",'SOTA full paper filtered'!D5:D197,"tactical")</f>
        <v>0</v>
      </c>
      <c r="G100" s="8">
        <f>COUNTIFS('SOTA full paper filtered'!B5:B197,"Technological, Managerial and Organizational Core Competencies: Dynamic Innovation and Sustainable Development",'SOTA full paper filtered'!D5:D197,"operational")</f>
        <v>0</v>
      </c>
    </row>
    <row r="101" spans="2:7" ht="17" thickBot="1" x14ac:dyDescent="0.25">
      <c r="B101" s="92" t="s">
        <v>85</v>
      </c>
      <c r="C101" s="3">
        <f>COUNTIF('SOTA full paper filtered'!$B$5:$B$196,"TQM Journal")</f>
        <v>1</v>
      </c>
      <c r="D101" s="8">
        <f>COUNTIFS('SOTA full paper filtered'!B5:B197,"TQM Journal",'SOTA full paper filtered'!D5:D197,"metalevel")</f>
        <v>0</v>
      </c>
      <c r="E101" s="8">
        <f>COUNTIFS('SOTA full paper filtered'!B5:B197,"TQM Journal",'SOTA full paper filtered'!D5:D197,"strategic")</f>
        <v>1</v>
      </c>
      <c r="F101" s="8">
        <f>COUNTIFS('SOTA full paper filtered'!B5:B197,"TQM Journal",'SOTA full paper filtered'!D5:D197,"tactical")</f>
        <v>0</v>
      </c>
      <c r="G101" s="8">
        <f>COUNTIFS('SOTA full paper filtered'!B5:B197,"TQM Journal",'SOTA full paper filtered'!D5:D197,"operational")</f>
        <v>0</v>
      </c>
    </row>
    <row r="102" spans="2:7" ht="17" thickBot="1" x14ac:dyDescent="0.25">
      <c r="B102" s="92" t="s">
        <v>394</v>
      </c>
      <c r="C102" s="3">
        <f>COUNTIF('SOTA full paper filtered'!$B$5:$B$196,"Journal of Business Ethics")</f>
        <v>1</v>
      </c>
      <c r="D102" s="8">
        <f>COUNTIFS('SOTA full paper filtered'!B6:B198,"Journal of Business Ethics",'SOTA full paper filtered'!D5:D197,"metalevel")</f>
        <v>0</v>
      </c>
      <c r="E102" s="8">
        <f>COUNTIFS('SOTA full paper filtered'!B6:B198,"Journal of Business Ethics",'SOTA full paper filtered'!D5:D197,"strategic")</f>
        <v>1</v>
      </c>
      <c r="F102" s="8">
        <f>COUNTIFS('SOTA full paper filtered'!B6:B198,"Journal of Business Ethics",'SOTA full paper filtered'!D5:D197,"tactical")</f>
        <v>0</v>
      </c>
      <c r="G102" s="8">
        <f>COUNTIFS('SOTA full paper filtered'!B6:B198,"Journal of Business Ethics",'SOTA full paper filtered'!D5:D197,"operational")</f>
        <v>0</v>
      </c>
    </row>
    <row r="103" spans="2:7" ht="17" thickBot="1" x14ac:dyDescent="0.25">
      <c r="B103" s="92" t="s">
        <v>96</v>
      </c>
      <c r="C103" s="3">
        <f>COUNTIF('SOTA full paper filtered'!$B$5:$B$196,"Environmental and Resource Economics")</f>
        <v>1</v>
      </c>
      <c r="D103" s="8">
        <f>COUNTIFS('SOTA full paper filtered'!B5:B197,"Environmental and Resource Economics",'SOTA full paper filtered'!D5:D197,"metalevel")</f>
        <v>1</v>
      </c>
      <c r="E103" s="8">
        <f>COUNTIFS('SOTA full paper filtered'!B5:B197,"Environmental and Resource Economics",'SOTA full paper filtered'!D5:D197,"strategic")</f>
        <v>0</v>
      </c>
      <c r="F103" s="8">
        <f>COUNTIFS('SOTA full paper filtered'!B5:B197,"Environmental and Resource Economics",'SOTA full paper filtered'!D5:D197,"tactical")</f>
        <v>0</v>
      </c>
      <c r="G103" s="8">
        <f>COUNTIFS('SOTA full paper filtered'!B5:B197,"Environmental and Resource Economics",'SOTA full paper filtered'!D5:D197,"operational")</f>
        <v>0</v>
      </c>
    </row>
    <row r="104" spans="2:7" ht="17" thickBot="1" x14ac:dyDescent="0.25">
      <c r="B104" s="92" t="s">
        <v>105</v>
      </c>
      <c r="C104" s="3">
        <f>COUNTIF('SOTA full paper filtered'!$B$5:$B$196,"Environmental Monitoring and Assessment")</f>
        <v>1</v>
      </c>
      <c r="D104" s="8">
        <f>COUNTIFS('SOTA full paper filtered'!B5:B197,"Environmental Monitoring and Assessment",'SOTA full paper filtered'!D5:D197,"metalevel")</f>
        <v>1</v>
      </c>
      <c r="E104" s="8">
        <f>COUNTIFS('SOTA full paper filtered'!B5:B197,"Environmental Monitoring and Assessment",'SOTA full paper filtered'!D5:D197,"strategic")</f>
        <v>0</v>
      </c>
      <c r="F104" s="8">
        <f>COUNTIFS('SOTA full paper filtered'!B5:B197,"Environmental Monitoring and Assessment",'SOTA full paper filtered'!D5:D197,"tactical")</f>
        <v>0</v>
      </c>
      <c r="G104" s="8">
        <f>COUNTIFS('SOTA full paper filtered'!B5:B197,"Environmental Monitoring and Assessment",'SOTA full paper filtered'!D5:D197,"operational")</f>
        <v>0</v>
      </c>
    </row>
    <row r="105" spans="2:7" ht="17" thickBot="1" x14ac:dyDescent="0.25">
      <c r="B105" s="92" t="s">
        <v>21</v>
      </c>
      <c r="C105" s="3">
        <f>COUNTIF('SOTA full paper filtered'!$B$5:$B$196,"International Journal of Environmental Technology and Management")</f>
        <v>1</v>
      </c>
      <c r="D105" s="8">
        <f>COUNTIFS('SOTA full paper filtered'!B5:B197,"International Journal of Environmental Technology and Management",'SOTA full paper filtered'!D5:D197,"metalevel")</f>
        <v>1</v>
      </c>
      <c r="E105" s="8">
        <f>COUNTIFS('SOTA full paper filtered'!B5:B197,"International Journal of Environmental Technology and Management",'SOTA full paper filtered'!D5:D197,"strategic")</f>
        <v>0</v>
      </c>
      <c r="F105" s="8">
        <f>COUNTIFS('SOTA full paper filtered'!B5:B197,"International Journal of Environmental Technology and Management",'SOTA full paper filtered'!D5:D197,"tactical")</f>
        <v>0</v>
      </c>
      <c r="G105" s="8">
        <f>COUNTIFS('SOTA full paper filtered'!B5:B197,"International Journal of Environmental Technology and Management",'SOTA full paper filtered'!D5:D197,"operational")</f>
        <v>0</v>
      </c>
    </row>
    <row r="106" spans="2:7" ht="17" thickBot="1" x14ac:dyDescent="0.25">
      <c r="B106" s="92" t="s">
        <v>128</v>
      </c>
      <c r="C106" s="3">
        <f>COUNTIF('SOTA full paper filtered'!$B$5:$B$196,"Journal of Consumer Marketing")</f>
        <v>1</v>
      </c>
      <c r="D106" s="8">
        <f>COUNTIFS('SOTA full paper filtered'!B5:B197,"Journal of Consumer Marketing",'SOTA full paper filtered'!D5:D197,"metalevel")</f>
        <v>1</v>
      </c>
      <c r="E106" s="8">
        <f>COUNTIFS('SOTA full paper filtered'!B5:B197,"Journal of Consumer Marketing",'SOTA full paper filtered'!D5:D197,"strategic")</f>
        <v>0</v>
      </c>
      <c r="F106" s="8">
        <f>COUNTIFS('SOTA full paper filtered'!B5:B197,"Journal of Consumer Marketing",'SOTA full paper filtered'!D5:D197,"tactical")</f>
        <v>0</v>
      </c>
      <c r="G106" s="8">
        <f>COUNTIFS('SOTA full paper filtered'!B5:B197,"Journal of Consumer Marketing",'SOTA full paper filtered'!D5:D197,"operational")</f>
        <v>0</v>
      </c>
    </row>
    <row r="107" spans="2:7" ht="17" thickBot="1" x14ac:dyDescent="0.25">
      <c r="B107" s="92" t="s">
        <v>112</v>
      </c>
      <c r="C107" s="3">
        <f>COUNTIF('SOTA full paper filtered'!$B$5:$B$196,"Journal of Mechanical Design, Transactions of the ASME")</f>
        <v>1</v>
      </c>
      <c r="D107" s="8">
        <f>COUNTIFS('SOTA full paper filtered'!B5:B197,"Journal of Mechanical Design, Transactions of the ASME",'SOTA full paper filtered'!D5:D197,"metalevel")</f>
        <v>1</v>
      </c>
      <c r="E107" s="8">
        <f>COUNTIFS('SOTA full paper filtered'!B5:B197,"Journal of Mechanical Design, Transactions of the ASME",'SOTA full paper filtered'!D5:D197,"strategic")</f>
        <v>0</v>
      </c>
      <c r="F107" s="8">
        <f>COUNTIFS('SOTA full paper filtered'!B5:B197,"Journal of Mechanical Design, Transactions of the ASME",'SOTA full paper filtered'!D5:D197,"tactical")</f>
        <v>0</v>
      </c>
      <c r="G107" s="8">
        <f>COUNTIFS('SOTA full paper filtered'!B5:B197,"Journal of Mechanical Design, Transactions of the ASME",'SOTA full paper filtered'!D5:D197,"operational")</f>
        <v>0</v>
      </c>
    </row>
    <row r="108" spans="2:7" ht="17" thickBot="1" x14ac:dyDescent="0.25">
      <c r="B108" s="92" t="s">
        <v>396</v>
      </c>
      <c r="C108" s="3">
        <f>COUNTIF('SOTA full paper filtered'!$B$5:$B$196,"Review of marketing research")</f>
        <v>1</v>
      </c>
      <c r="D108" s="8">
        <f>COUNTIFS('SOTA full paper filtered'!B6:B198,"Review of marketing research",'SOTA full paper filtered'!D5:D197,"metalevel")</f>
        <v>0</v>
      </c>
      <c r="E108" s="8">
        <f>COUNTIFS('SOTA full paper filtered'!B6:B198,"Review of marketing research",'SOTA full paper filtered'!D5:D197,"strategic")</f>
        <v>0</v>
      </c>
      <c r="F108" s="8">
        <f>COUNTIFS('SOTA full paper filtered'!B6:B198,"Review of marketing research",'SOTA full paper filtered'!D5:D197,"tactical")</f>
        <v>0</v>
      </c>
      <c r="G108" s="8">
        <f>COUNTIFS('SOTA full paper filtered'!B6:B198,"Review of marketing research",'SOTA full paper filtered'!D5:D197,"operational")</f>
        <v>1</v>
      </c>
    </row>
    <row r="109" spans="2:7" x14ac:dyDescent="0.2">
      <c r="B109" s="141" t="s">
        <v>488</v>
      </c>
      <c r="C109" s="2">
        <f>SUM(C5:C108)</f>
        <v>193</v>
      </c>
      <c r="D109" s="22">
        <f>SUM(D5:D108)</f>
        <v>19</v>
      </c>
      <c r="E109" s="22">
        <f t="shared" ref="E109:G109" si="0">SUM(E5:E108)</f>
        <v>80</v>
      </c>
      <c r="F109" s="22">
        <f t="shared" si="0"/>
        <v>32</v>
      </c>
      <c r="G109" s="22">
        <f t="shared" si="0"/>
        <v>62</v>
      </c>
    </row>
    <row r="110" spans="2:7" x14ac:dyDescent="0.2">
      <c r="B110" s="142" t="s">
        <v>487</v>
      </c>
      <c r="C110" s="2">
        <f>COUNTA(C6:C108)</f>
        <v>103</v>
      </c>
      <c r="D110" s="2">
        <v>14</v>
      </c>
      <c r="E110" s="2">
        <v>50</v>
      </c>
      <c r="F110" s="2">
        <v>21</v>
      </c>
      <c r="G110" s="2">
        <v>42</v>
      </c>
    </row>
  </sheetData>
  <sortState ref="A5:M108">
    <sortCondition descending="1" ref="C5:C108"/>
  </sortState>
  <conditionalFormatting sqref="E4:G4 W5:Y5">
    <cfRule type="containsText" dxfId="14" priority="45" operator="containsText" text="Operational">
      <formula>NOT(ISERROR(SEARCH("Operational",E4)))</formula>
    </cfRule>
    <cfRule type="containsText" dxfId="13" priority="46" operator="containsText" text="Tactical">
      <formula>NOT(ISERROR(SEARCH("Tactical",E4)))</formula>
    </cfRule>
    <cfRule type="cellIs" dxfId="12" priority="47" operator="equal">
      <formula>"Strategic"</formula>
    </cfRule>
  </conditionalFormatting>
  <conditionalFormatting sqref="D4">
    <cfRule type="containsText" dxfId="11" priority="42" operator="containsText" text="Operational">
      <formula>NOT(ISERROR(SEARCH("Operational",D4)))</formula>
    </cfRule>
    <cfRule type="containsText" dxfId="10" priority="43" operator="containsText" text="Tactical">
      <formula>NOT(ISERROR(SEARCH("Tactical",D4)))</formula>
    </cfRule>
    <cfRule type="cellIs" dxfId="9" priority="44" operator="equal">
      <formula>"Strategic"</formula>
    </cfRule>
  </conditionalFormatting>
  <conditionalFormatting sqref="C5:C108">
    <cfRule type="dataBar" priority="674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{744E7C39-09D0-C540-9EF8-6E5AA7E5B154}</x14:id>
        </ext>
      </extLst>
    </cfRule>
  </conditionalFormatting>
  <conditionalFormatting sqref="D5:G108">
    <cfRule type="dataBar" priority="674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{1B2EE933-B415-5049-8517-490E0582DEE9}</x14:id>
        </ext>
      </extLst>
    </cfRule>
  </conditionalFormatting>
  <conditionalFormatting sqref="L5:L14">
    <cfRule type="dataBar" priority="3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{1E08EDDC-0184-1D45-A83B-E603AA3ECBDD}</x14:id>
        </ext>
      </extLst>
    </cfRule>
  </conditionalFormatting>
  <conditionalFormatting sqref="M5:P14">
    <cfRule type="dataBar" priority="3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{C4F2F8BB-B40C-BD41-B7A3-DA5DFDB57B62}</x14:id>
        </ext>
      </extLst>
    </cfRule>
  </conditionalFormatting>
  <conditionalFormatting sqref="N4:P4">
    <cfRule type="containsText" dxfId="8" priority="32" operator="containsText" text="Operational">
      <formula>NOT(ISERROR(SEARCH("Operational",N4)))</formula>
    </cfRule>
    <cfRule type="containsText" dxfId="7" priority="33" operator="containsText" text="Tactical">
      <formula>NOT(ISERROR(SEARCH("Tactical",N4)))</formula>
    </cfRule>
    <cfRule type="cellIs" dxfId="6" priority="34" operator="equal">
      <formula>"Strategic"</formula>
    </cfRule>
  </conditionalFormatting>
  <conditionalFormatting sqref="M4">
    <cfRule type="containsText" dxfId="5" priority="29" operator="containsText" text="Operational">
      <formula>NOT(ISERROR(SEARCH("Operational",M4)))</formula>
    </cfRule>
    <cfRule type="containsText" dxfId="4" priority="30" operator="containsText" text="Tactical">
      <formula>NOT(ISERROR(SEARCH("Tactical",M4)))</formula>
    </cfRule>
    <cfRule type="cellIs" dxfId="3" priority="31" operator="equal">
      <formula>"Strategic"</formula>
    </cfRule>
  </conditionalFormatting>
  <conditionalFormatting sqref="Z5">
    <cfRule type="containsText" dxfId="2" priority="22" operator="containsText" text="Operational">
      <formula>NOT(ISERROR(SEARCH("Operational",Z5)))</formula>
    </cfRule>
    <cfRule type="containsText" dxfId="1" priority="23" operator="containsText" text="Tactical">
      <formula>NOT(ISERROR(SEARCH("Tactical",Z5)))</formula>
    </cfRule>
    <cfRule type="cellIs" dxfId="0" priority="24" operator="equal">
      <formula>"Strategic"</formula>
    </cfRule>
  </conditionalFormatting>
  <conditionalFormatting sqref="W6:Z6">
    <cfRule type="dataBar" priority="1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{AB6FC947-3FD5-F74B-8BD3-B698B47410F5}</x14:id>
        </ext>
      </extLst>
    </cfRule>
  </conditionalFormatting>
  <conditionalFormatting sqref="W7:Z7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{A3F2E1D5-F82A-4F4F-8E87-B869BD2A4190}</x14:id>
        </ext>
      </extLst>
    </cfRule>
  </conditionalFormatting>
  <conditionalFormatting sqref="W8:Z8"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{A7EB3600-339F-7E49-B304-AAA43A43F636}</x14:id>
        </ext>
      </extLst>
    </cfRule>
  </conditionalFormatting>
  <conditionalFormatting sqref="W9:Z9"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{9C175057-A70A-6A45-8835-79A809B814C8}</x14:id>
        </ext>
      </extLst>
    </cfRule>
  </conditionalFormatting>
  <conditionalFormatting sqref="W10:Z10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{A8C82A4A-665C-024E-AA43-F69916BAD2CC}</x14:id>
        </ext>
      </extLst>
    </cfRule>
  </conditionalFormatting>
  <conditionalFormatting sqref="W11:Z11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{D013B493-9B4E-B849-8555-3B017A77F7EF}</x14:id>
        </ext>
      </extLst>
    </cfRule>
  </conditionalFormatting>
  <conditionalFormatting sqref="W12:Z12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{125A1999-2E2C-5145-A865-A7081CAA37C6}</x14:id>
        </ext>
      </extLst>
    </cfRule>
  </conditionalFormatting>
  <conditionalFormatting sqref="W13:Z13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{EB9AEC49-9BEF-B441-9F57-7A15622ABF34}</x14:id>
        </ext>
      </extLst>
    </cfRule>
  </conditionalFormatting>
  <conditionalFormatting sqref="W14:Z14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{04D6EB53-29BF-A14B-9EB2-1DFCBC26FC19}</x14:id>
        </ext>
      </extLst>
    </cfRule>
  </conditionalFormatting>
  <conditionalFormatting sqref="W15:Z15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{A912BED0-49B9-014E-A6C2-0AD7FE8151DD}</x14:id>
        </ext>
      </extLst>
    </cfRule>
  </conditionalFormatting>
  <conditionalFormatting sqref="W16">
    <cfRule type="dataBar" priority="675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{2E9E7D57-A9FA-A34F-B7B9-CD0E7F41E91D}</x14:id>
        </ext>
      </extLst>
    </cfRule>
  </conditionalFormatting>
  <conditionalFormatting sqref="W17">
    <cfRule type="dataBar" priority="675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{247B3375-0BCD-3C41-809E-E5BE65B7445D}</x14:id>
        </ext>
      </extLst>
    </cfRule>
  </conditionalFormatting>
  <conditionalFormatting sqref="W18">
    <cfRule type="dataBar" priority="675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{4626FCD2-5653-854B-B1AB-5090FCF8A5DF}</x14:id>
        </ext>
      </extLst>
    </cfRule>
  </conditionalFormatting>
  <conditionalFormatting sqref="W19">
    <cfRule type="dataBar" priority="675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{3DAC9C43-1275-EE4F-BF8E-CBE114E0FE80}</x14:id>
        </ext>
      </extLst>
    </cfRule>
  </conditionalFormatting>
  <conditionalFormatting sqref="W20">
    <cfRule type="dataBar" priority="675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{DA3186B9-2549-F844-AC15-0F1572745F3C}</x14:id>
        </ext>
      </extLst>
    </cfRule>
  </conditionalFormatting>
  <conditionalFormatting sqref="W21">
    <cfRule type="dataBar" priority="675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{C47C07AC-CEEF-834C-AC21-7585D5F14AD6}</x14:id>
        </ext>
      </extLst>
    </cfRule>
  </conditionalFormatting>
  <conditionalFormatting sqref="W22">
    <cfRule type="dataBar" priority="676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{03E9C9A6-F73B-4845-A951-131D86FD1A7A}</x14:id>
        </ext>
      </extLst>
    </cfRule>
  </conditionalFormatting>
  <conditionalFormatting sqref="W23">
    <cfRule type="dataBar" priority="676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{D91188AF-E4E8-DF49-A699-62B8F999C231}</x14:id>
        </ext>
      </extLst>
    </cfRule>
  </conditionalFormatting>
  <conditionalFormatting sqref="W24">
    <cfRule type="dataBar" priority="676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{F4C464F8-C86B-444A-8F4C-420CB24757BE}</x14:id>
        </ext>
      </extLst>
    </cfRule>
  </conditionalFormatting>
  <conditionalFormatting sqref="W25">
    <cfRule type="dataBar" priority="676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{58822BD5-0326-7E41-8FCD-01ABBA2402A5}</x14:id>
        </ext>
      </extLst>
    </cfRule>
  </conditionalFormatting>
  <pageMargins left="0.7" right="0.7" top="0.75" bottom="0.75" header="0.5" footer="0.5"/>
  <pageSetup paperSize="9" orientation="portrait" horizontalDpi="4294967292" verticalDpi="4294967292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44E7C39-09D0-C540-9EF8-6E5AA7E5B15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C5:C108</xm:sqref>
        </x14:conditionalFormatting>
        <x14:conditionalFormatting xmlns:xm="http://schemas.microsoft.com/office/excel/2006/main">
          <x14:cfRule type="dataBar" id="{1B2EE933-B415-5049-8517-490E0582DEE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D5:G108</xm:sqref>
        </x14:conditionalFormatting>
        <x14:conditionalFormatting xmlns:xm="http://schemas.microsoft.com/office/excel/2006/main">
          <x14:cfRule type="dataBar" id="{1E08EDDC-0184-1D45-A83B-E603AA3ECBD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L5:L14</xm:sqref>
        </x14:conditionalFormatting>
        <x14:conditionalFormatting xmlns:xm="http://schemas.microsoft.com/office/excel/2006/main">
          <x14:cfRule type="dataBar" id="{C4F2F8BB-B40C-BD41-B7A3-DA5DFDB57B6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M5:P14</xm:sqref>
        </x14:conditionalFormatting>
        <x14:conditionalFormatting xmlns:xm="http://schemas.microsoft.com/office/excel/2006/main">
          <x14:cfRule type="dataBar" id="{AB6FC947-3FD5-F74B-8BD3-B698B47410F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W6:Z6</xm:sqref>
        </x14:conditionalFormatting>
        <x14:conditionalFormatting xmlns:xm="http://schemas.microsoft.com/office/excel/2006/main">
          <x14:cfRule type="dataBar" id="{A3F2E1D5-F82A-4F4F-8E87-B869BD2A419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W7:Z7</xm:sqref>
        </x14:conditionalFormatting>
        <x14:conditionalFormatting xmlns:xm="http://schemas.microsoft.com/office/excel/2006/main">
          <x14:cfRule type="dataBar" id="{A7EB3600-339F-7E49-B304-AAA43A43F63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W8:Z8</xm:sqref>
        </x14:conditionalFormatting>
        <x14:conditionalFormatting xmlns:xm="http://schemas.microsoft.com/office/excel/2006/main">
          <x14:cfRule type="dataBar" id="{9C175057-A70A-6A45-8835-79A809B814C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W9:Z9</xm:sqref>
        </x14:conditionalFormatting>
        <x14:conditionalFormatting xmlns:xm="http://schemas.microsoft.com/office/excel/2006/main">
          <x14:cfRule type="dataBar" id="{A8C82A4A-665C-024E-AA43-F69916BAD2C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W10:Z10</xm:sqref>
        </x14:conditionalFormatting>
        <x14:conditionalFormatting xmlns:xm="http://schemas.microsoft.com/office/excel/2006/main">
          <x14:cfRule type="dataBar" id="{D013B493-9B4E-B849-8555-3B017A77F7EF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W11:Z11</xm:sqref>
        </x14:conditionalFormatting>
        <x14:conditionalFormatting xmlns:xm="http://schemas.microsoft.com/office/excel/2006/main">
          <x14:cfRule type="dataBar" id="{125A1999-2E2C-5145-A865-A7081CAA37C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W12:Z12</xm:sqref>
        </x14:conditionalFormatting>
        <x14:conditionalFormatting xmlns:xm="http://schemas.microsoft.com/office/excel/2006/main">
          <x14:cfRule type="dataBar" id="{EB9AEC49-9BEF-B441-9F57-7A15622ABF3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W13:Z13</xm:sqref>
        </x14:conditionalFormatting>
        <x14:conditionalFormatting xmlns:xm="http://schemas.microsoft.com/office/excel/2006/main">
          <x14:cfRule type="dataBar" id="{04D6EB53-29BF-A14B-9EB2-1DFCBC26FC1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W14:Z14</xm:sqref>
        </x14:conditionalFormatting>
        <x14:conditionalFormatting xmlns:xm="http://schemas.microsoft.com/office/excel/2006/main">
          <x14:cfRule type="dataBar" id="{A912BED0-49B9-014E-A6C2-0AD7FE8151D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W15:Z15</xm:sqref>
        </x14:conditionalFormatting>
        <x14:conditionalFormatting xmlns:xm="http://schemas.microsoft.com/office/excel/2006/main">
          <x14:cfRule type="dataBar" id="{2E9E7D57-A9FA-A34F-B7B9-CD0E7F41E91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W16</xm:sqref>
        </x14:conditionalFormatting>
        <x14:conditionalFormatting xmlns:xm="http://schemas.microsoft.com/office/excel/2006/main">
          <x14:cfRule type="dataBar" id="{247B3375-0BCD-3C41-809E-E5BE65B7445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W17</xm:sqref>
        </x14:conditionalFormatting>
        <x14:conditionalFormatting xmlns:xm="http://schemas.microsoft.com/office/excel/2006/main">
          <x14:cfRule type="dataBar" id="{4626FCD2-5653-854B-B1AB-5090FCF8A5DF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W18</xm:sqref>
        </x14:conditionalFormatting>
        <x14:conditionalFormatting xmlns:xm="http://schemas.microsoft.com/office/excel/2006/main">
          <x14:cfRule type="dataBar" id="{3DAC9C43-1275-EE4F-BF8E-CBE114E0FE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W19</xm:sqref>
        </x14:conditionalFormatting>
        <x14:conditionalFormatting xmlns:xm="http://schemas.microsoft.com/office/excel/2006/main">
          <x14:cfRule type="dataBar" id="{DA3186B9-2549-F844-AC15-0F1572745F3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W20</xm:sqref>
        </x14:conditionalFormatting>
        <x14:conditionalFormatting xmlns:xm="http://schemas.microsoft.com/office/excel/2006/main">
          <x14:cfRule type="dataBar" id="{C47C07AC-CEEF-834C-AC21-7585D5F14AD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W21</xm:sqref>
        </x14:conditionalFormatting>
        <x14:conditionalFormatting xmlns:xm="http://schemas.microsoft.com/office/excel/2006/main">
          <x14:cfRule type="dataBar" id="{03E9C9A6-F73B-4845-A951-131D86FD1A7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W22</xm:sqref>
        </x14:conditionalFormatting>
        <x14:conditionalFormatting xmlns:xm="http://schemas.microsoft.com/office/excel/2006/main">
          <x14:cfRule type="dataBar" id="{D91188AF-E4E8-DF49-A699-62B8F999C23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W23</xm:sqref>
        </x14:conditionalFormatting>
        <x14:conditionalFormatting xmlns:xm="http://schemas.microsoft.com/office/excel/2006/main">
          <x14:cfRule type="dataBar" id="{F4C464F8-C86B-444A-8F4C-420CB24757B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W24</xm:sqref>
        </x14:conditionalFormatting>
        <x14:conditionalFormatting xmlns:xm="http://schemas.microsoft.com/office/excel/2006/main">
          <x14:cfRule type="dataBar" id="{58822BD5-0326-7E41-8FCD-01ABBA2402A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hits</vt:lpstr>
      <vt:lpstr>SOTA full paper filtered</vt:lpstr>
      <vt:lpstr>Statistics full paper</vt:lpstr>
      <vt:lpstr>CITATION ANALYSIS-FULL TEXT </vt:lpstr>
      <vt:lpstr>SOURCE ANALYSIS-FULL TEXT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</dc:creator>
  <cp:lastModifiedBy>Microsoft Office User</cp:lastModifiedBy>
  <dcterms:created xsi:type="dcterms:W3CDTF">2016-03-31T12:33:58Z</dcterms:created>
  <dcterms:modified xsi:type="dcterms:W3CDTF">2017-03-23T14:51:21Z</dcterms:modified>
</cp:coreProperties>
</file>